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Metro\"/>
    </mc:Choice>
  </mc:AlternateContent>
  <bookViews>
    <workbookView xWindow="-20" yWindow="-50" windowWidth="28820" windowHeight="6770" activeTab="3"/>
  </bookViews>
  <sheets>
    <sheet name="Provenance" sheetId="29" r:id="rId1"/>
    <sheet name="Summary" sheetId="22" r:id="rId2"/>
    <sheet name="Regional VKT Summary" sheetId="25" r:id="rId3"/>
    <sheet name="Regional Vehicle Summary" sheetId="26" r:id="rId4"/>
    <sheet name="All Vehicle Types" sheetId="16" r:id="rId5"/>
    <sheet name="All Light Vehicles" sheetId="8" r:id="rId6"/>
    <sheet name="Car+SUV" sheetId="17" r:id="rId7"/>
    <sheet name="Van+Ute" sheetId="19" r:id="rId8"/>
    <sheet name="Heavy Truck" sheetId="10" r:id="rId9"/>
    <sheet name="Heavy Bus" sheetId="11" r:id="rId10"/>
    <sheet name="Motorcycle" sheetId="12" r:id="rId11"/>
    <sheet name="Original 2012-13 Data" sheetId="1" r:id="rId12"/>
    <sheet name="Scaled 2012-13 Data" sheetId="4" r:id="rId13"/>
    <sheet name="Original 2013-14 Data" sheetId="14" r:id="rId14"/>
    <sheet name="Scaled 2013-14 Data" sheetId="15" r:id="rId15"/>
    <sheet name="Original 2014-15 Data" sheetId="20" r:id="rId16"/>
    <sheet name="Scaled 2014-15 Data" sheetId="21" r:id="rId17"/>
    <sheet name="Original 2015-16 Data" sheetId="30" r:id="rId18"/>
    <sheet name="Scaled 2015-16 Data" sheetId="32" r:id="rId19"/>
    <sheet name="Original 2016-17 Data" sheetId="31" r:id="rId20"/>
    <sheet name="Scaled 2016-17 Data" sheetId="33" r:id="rId21"/>
    <sheet name="Original 2017-18 Data" sheetId="34" r:id="rId22"/>
    <sheet name="Scaled 2017-18 Data" sheetId="35" r:id="rId23"/>
    <sheet name="Household Vehicle Occupancy" sheetId="24" r:id="rId24"/>
    <sheet name="Light Vehicle Supporting Data" sheetId="3" r:id="rId25"/>
    <sheet name="Vehicle Share Diversion Support" sheetId="23" r:id="rId26"/>
    <sheet name="Taxi-Vehicle Share Supporting D" sheetId="18" r:id="rId27"/>
    <sheet name="Heavy Truck Supporting Data" sheetId="6" r:id="rId28"/>
    <sheet name="Heavy Bus Supporting Data" sheetId="7" r:id="rId29"/>
    <sheet name="Motorcycle Supporting Data" sheetId="13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Convergence_Criteria">'Scaled 2012-13 Data'!$H$1</definedName>
    <definedName name="Fraction_LCV_Vehicles" localSheetId="23">'Light Vehicle Supporting Data'!#REF!</definedName>
    <definedName name="Fraction_LCV_Vehicles" localSheetId="17">'Light Vehicle Supporting Data'!#REF!</definedName>
    <definedName name="Fraction_LCV_Vehicles" localSheetId="21">'Light Vehicle Supporting Data'!#REF!</definedName>
    <definedName name="Fraction_LCV_Vehicles" localSheetId="3">'Light Vehicle Supporting Data'!#REF!</definedName>
    <definedName name="Fraction_LCV_Vehicles" localSheetId="2">'Light Vehicle Supporting Data'!#REF!</definedName>
    <definedName name="Fraction_LCV_Vehicles" localSheetId="20">'Light Vehicle Supporting Data'!#REF!</definedName>
    <definedName name="Fraction_LCV_Vehicles" localSheetId="22">'Light Vehicle Supporting Data'!#REF!</definedName>
    <definedName name="Fraction_LCV_Vehicles" localSheetId="26">'Taxi-Vehicle Share Supporting D'!#REF!</definedName>
    <definedName name="Fraction_LCV_Vehicles">'Light Vehicle Supporting Data'!#REF!</definedName>
    <definedName name="Fraction_LCV_VKT" localSheetId="23">'Light Vehicle Supporting Data'!#REF!</definedName>
    <definedName name="Fraction_LCV_VKT" localSheetId="17">'Light Vehicle Supporting Data'!#REF!</definedName>
    <definedName name="Fraction_LCV_VKT" localSheetId="21">'Light Vehicle Supporting Data'!#REF!</definedName>
    <definedName name="Fraction_LCV_VKT" localSheetId="3">'Light Vehicle Supporting Data'!#REF!</definedName>
    <definedName name="Fraction_LCV_VKT" localSheetId="2">'Light Vehicle Supporting Data'!#REF!</definedName>
    <definedName name="Fraction_LCV_VKT" localSheetId="20">'Light Vehicle Supporting Data'!#REF!</definedName>
    <definedName name="Fraction_LCV_VKT" localSheetId="22">'Light Vehicle Supporting Data'!#REF!</definedName>
    <definedName name="Fraction_LCV_VKT" localSheetId="26">'Taxi-Vehicle Share Supporting D'!#REF!</definedName>
    <definedName name="Fraction_LCV_VKT">'Light Vehicle Supporting Data'!#REF!</definedName>
    <definedName name="Fraction_LPV_Vehicles" localSheetId="26">'Taxi-Vehicle Share Supporting D'!#REF!</definedName>
    <definedName name="Fraction_LPV_Vehicles">'Light Vehicle Supporting Data'!$E$134</definedName>
    <definedName name="Fraction_LPV_VKT" localSheetId="23">'Light Vehicle Supporting Data'!#REF!</definedName>
    <definedName name="Fraction_LPV_VKT" localSheetId="17">'Light Vehicle Supporting Data'!#REF!</definedName>
    <definedName name="Fraction_LPV_VKT" localSheetId="21">'Light Vehicle Supporting Data'!#REF!</definedName>
    <definedName name="Fraction_LPV_VKT" localSheetId="3">'Light Vehicle Supporting Data'!#REF!</definedName>
    <definedName name="Fraction_LPV_VKT" localSheetId="2">'Light Vehicle Supporting Data'!#REF!</definedName>
    <definedName name="Fraction_LPV_VKT" localSheetId="20">'Light Vehicle Supporting Data'!#REF!</definedName>
    <definedName name="Fraction_LPV_VKT" localSheetId="22">'Light Vehicle Supporting Data'!#REF!</definedName>
    <definedName name="Fraction_LPV_VKT" localSheetId="26">'Taxi-Vehicle Share Supporting D'!#REF!</definedName>
    <definedName name="Fraction_LPV_VKT">'Light Vehicle Supporting Data'!#REF!</definedName>
    <definedName name="Light_Household_Vehicle_Fraction" localSheetId="26">'Taxi-Vehicle Share Supporting D'!#REF!</definedName>
    <definedName name="Light_Household_Vehicle_Fraction">'Light Vehicle Supporting Data'!$E$132</definedName>
    <definedName name="Light_Household_VKT_Fraction" localSheetId="26">'Taxi-Vehicle Share Supporting D'!#REF!</definedName>
    <definedName name="Light_Household_VKT_Fraction">'Light Vehicle Supporting Data'!$E$86</definedName>
    <definedName name="PT_Bus_VKT_Fraction" localSheetId="23">'Heavy Bus Supporting Data'!#REF!</definedName>
    <definedName name="PT_Bus_VKT_Fraction" localSheetId="17">'Heavy Bus Supporting Data'!#REF!</definedName>
    <definedName name="PT_Bus_VKT_Fraction" localSheetId="21">'Heavy Bus Supporting Data'!#REF!</definedName>
    <definedName name="PT_Bus_VKT_Fraction" localSheetId="3">'Heavy Bus Supporting Data'!#REF!</definedName>
    <definedName name="PT_Bus_VKT_Fraction" localSheetId="2">'Heavy Bus Supporting Data'!#REF!</definedName>
    <definedName name="PT_Bus_VKT_Fraction" localSheetId="20">'Heavy Bus Supporting Data'!#REF!</definedName>
    <definedName name="PT_Bus_VKT_Fraction" localSheetId="22">'Heavy Bus Supporting Data'!#REF!</definedName>
    <definedName name="PT_Bus_VKT_Fraction">'Heavy Bus Supporting Data'!#REF!</definedName>
    <definedName name="Taxi_Commercial_Share">'Taxi-Vehicle Share Supporting D'!$D$220</definedName>
    <definedName name="Taxi_Household_Share">'Taxi-Vehicle Share Supporting D'!$D$218</definedName>
    <definedName name="Taxi_Tourist_Share">'Taxi-Vehicle Share Supporting D'!$D$219</definedName>
    <definedName name="test" localSheetId="17">'Light Vehicle Supporting Data'!#REF!</definedName>
    <definedName name="test" localSheetId="21">'Light Vehicle Supporting Data'!#REF!</definedName>
    <definedName name="test" localSheetId="3">'Light Vehicle Supporting Data'!#REF!</definedName>
    <definedName name="test" localSheetId="20">'Light Vehicle Supporting Data'!#REF!</definedName>
    <definedName name="test" localSheetId="22">'Light Vehicle Supporting Data'!#REF!</definedName>
    <definedName name="test">'Light Vehicle Supporting Data'!#REF!</definedName>
  </definedNames>
  <calcPr calcId="162913"/>
</workbook>
</file>

<file path=xl/calcChain.xml><?xml version="1.0" encoding="utf-8"?>
<calcChain xmlns="http://schemas.openxmlformats.org/spreadsheetml/2006/main">
  <c r="H31" i="13" l="1"/>
  <c r="H29" i="13"/>
  <c r="H28" i="13"/>
  <c r="H64" i="7"/>
  <c r="H62" i="7"/>
  <c r="H61" i="7"/>
  <c r="H191" i="3"/>
  <c r="H190" i="3"/>
  <c r="H181" i="3"/>
  <c r="H180" i="3"/>
  <c r="H171" i="3"/>
  <c r="H170" i="3"/>
  <c r="H161" i="3"/>
  <c r="H160" i="3"/>
  <c r="H151" i="3"/>
  <c r="H150" i="3"/>
  <c r="H141" i="3"/>
  <c r="H140" i="3"/>
  <c r="G22" i="31"/>
  <c r="F22" i="31"/>
  <c r="E22" i="31"/>
  <c r="D22" i="31"/>
  <c r="C22" i="31"/>
  <c r="G20" i="31"/>
  <c r="F20" i="31"/>
  <c r="E20" i="31"/>
  <c r="D20" i="31"/>
  <c r="C20" i="31"/>
  <c r="G19" i="31"/>
  <c r="F19" i="31"/>
  <c r="E19" i="31"/>
  <c r="D19" i="31"/>
  <c r="C19" i="31"/>
  <c r="G18" i="31"/>
  <c r="F18" i="31"/>
  <c r="E18" i="31"/>
  <c r="D18" i="31"/>
  <c r="C18" i="31"/>
  <c r="G17" i="31"/>
  <c r="F17" i="31"/>
  <c r="E17" i="31"/>
  <c r="D17" i="31"/>
  <c r="C17" i="31"/>
  <c r="G16" i="31"/>
  <c r="F16" i="31"/>
  <c r="E16" i="31"/>
  <c r="D16" i="31"/>
  <c r="C16" i="31"/>
  <c r="G15" i="31"/>
  <c r="F15" i="31"/>
  <c r="E15" i="31"/>
  <c r="D15" i="31"/>
  <c r="C15" i="31"/>
  <c r="G14" i="31"/>
  <c r="F14" i="31"/>
  <c r="E14" i="31"/>
  <c r="D14" i="31"/>
  <c r="C14" i="31"/>
  <c r="G13" i="31"/>
  <c r="F13" i="31"/>
  <c r="E13" i="31"/>
  <c r="D13" i="31"/>
  <c r="C13" i="31"/>
  <c r="G12" i="31"/>
  <c r="F12" i="31"/>
  <c r="E12" i="31"/>
  <c r="D12" i="31"/>
  <c r="C12" i="31"/>
  <c r="G11" i="31"/>
  <c r="F11" i="31"/>
  <c r="E11" i="31"/>
  <c r="D11" i="31"/>
  <c r="C11" i="31"/>
  <c r="G10" i="31"/>
  <c r="F10" i="31"/>
  <c r="E10" i="31"/>
  <c r="D10" i="31"/>
  <c r="C10" i="31"/>
  <c r="G9" i="31"/>
  <c r="F9" i="31"/>
  <c r="E9" i="31"/>
  <c r="D9" i="31"/>
  <c r="C9" i="31"/>
  <c r="G8" i="31"/>
  <c r="F8" i="31"/>
  <c r="E8" i="31"/>
  <c r="D8" i="31"/>
  <c r="C8" i="31"/>
  <c r="G7" i="31"/>
  <c r="F7" i="31"/>
  <c r="E7" i="31"/>
  <c r="D7" i="31"/>
  <c r="C7" i="31"/>
  <c r="G6" i="31"/>
  <c r="F6" i="31"/>
  <c r="E6" i="31"/>
  <c r="D6" i="31"/>
  <c r="C6" i="31"/>
  <c r="H28" i="10"/>
  <c r="H166" i="19"/>
  <c r="H125" i="19"/>
  <c r="H84" i="19"/>
  <c r="H166" i="17"/>
  <c r="H125" i="17"/>
  <c r="H84" i="17"/>
  <c r="I31" i="13"/>
  <c r="I29" i="13"/>
  <c r="I28" i="13"/>
  <c r="I64" i="7"/>
  <c r="I62" i="7"/>
  <c r="I61" i="7"/>
  <c r="I191" i="3"/>
  <c r="I190" i="3"/>
  <c r="I181" i="3"/>
  <c r="I180" i="3"/>
  <c r="I171" i="3"/>
  <c r="I170" i="3"/>
  <c r="I161" i="3"/>
  <c r="I160" i="3"/>
  <c r="I151" i="3"/>
  <c r="I150" i="3"/>
  <c r="I141" i="3"/>
  <c r="I140" i="3"/>
  <c r="G22" i="34"/>
  <c r="F22" i="34"/>
  <c r="E22" i="34"/>
  <c r="D22" i="34"/>
  <c r="C22" i="34"/>
  <c r="G20" i="34"/>
  <c r="F20" i="34"/>
  <c r="E20" i="34"/>
  <c r="D20" i="34"/>
  <c r="C20" i="34"/>
  <c r="G19" i="34"/>
  <c r="F19" i="34"/>
  <c r="E19" i="34"/>
  <c r="D19" i="34"/>
  <c r="C19" i="34"/>
  <c r="G18" i="34"/>
  <c r="F18" i="34"/>
  <c r="E18" i="34"/>
  <c r="D18" i="34"/>
  <c r="C18" i="34"/>
  <c r="G17" i="34"/>
  <c r="F17" i="34"/>
  <c r="E17" i="34"/>
  <c r="D17" i="34"/>
  <c r="C17" i="34"/>
  <c r="G16" i="34"/>
  <c r="F16" i="34"/>
  <c r="E16" i="34"/>
  <c r="D16" i="34"/>
  <c r="C16" i="34"/>
  <c r="G15" i="34"/>
  <c r="F15" i="34"/>
  <c r="E15" i="34"/>
  <c r="D15" i="34"/>
  <c r="C15" i="34"/>
  <c r="G14" i="34"/>
  <c r="F14" i="34"/>
  <c r="E14" i="34"/>
  <c r="D14" i="34"/>
  <c r="C14" i="34"/>
  <c r="G13" i="34"/>
  <c r="F13" i="34"/>
  <c r="E13" i="34"/>
  <c r="D13" i="34"/>
  <c r="C13" i="34"/>
  <c r="G12" i="34"/>
  <c r="F12" i="34"/>
  <c r="E12" i="34"/>
  <c r="D12" i="34"/>
  <c r="C12" i="34"/>
  <c r="G11" i="34"/>
  <c r="F11" i="34"/>
  <c r="E11" i="34"/>
  <c r="D11" i="34"/>
  <c r="C11" i="34"/>
  <c r="G10" i="34"/>
  <c r="F10" i="34"/>
  <c r="E10" i="34"/>
  <c r="D10" i="34"/>
  <c r="C10" i="34"/>
  <c r="G9" i="34"/>
  <c r="F9" i="34"/>
  <c r="E9" i="34"/>
  <c r="D9" i="34"/>
  <c r="C9" i="34"/>
  <c r="G8" i="34"/>
  <c r="F8" i="34"/>
  <c r="E8" i="34"/>
  <c r="D8" i="34"/>
  <c r="C8" i="34"/>
  <c r="G7" i="34"/>
  <c r="F7" i="34"/>
  <c r="E7" i="34"/>
  <c r="D7" i="34"/>
  <c r="C7" i="34"/>
  <c r="G6" i="34"/>
  <c r="F6" i="34"/>
  <c r="E6" i="34"/>
  <c r="D6" i="34"/>
  <c r="C6" i="34"/>
  <c r="I28" i="10"/>
  <c r="I166" i="19"/>
  <c r="I125" i="19"/>
  <c r="I84" i="19"/>
  <c r="I166" i="17"/>
  <c r="I125" i="17"/>
  <c r="I84" i="17"/>
  <c r="Q28" i="7" l="1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Q119" i="23"/>
  <c r="P119" i="23"/>
  <c r="O119" i="23"/>
  <c r="N119" i="23"/>
  <c r="M119" i="23"/>
  <c r="L119" i="23"/>
  <c r="K119" i="23"/>
  <c r="J119" i="23"/>
  <c r="Q118" i="23"/>
  <c r="P118" i="23"/>
  <c r="O118" i="23"/>
  <c r="N118" i="23"/>
  <c r="M118" i="23"/>
  <c r="L118" i="23"/>
  <c r="K118" i="23"/>
  <c r="J118" i="23"/>
  <c r="Q117" i="23"/>
  <c r="P117" i="23"/>
  <c r="O117" i="23"/>
  <c r="N117" i="23"/>
  <c r="M117" i="23"/>
  <c r="L117" i="23"/>
  <c r="K117" i="23"/>
  <c r="J117" i="23"/>
  <c r="Q116" i="23"/>
  <c r="P116" i="23"/>
  <c r="O116" i="23"/>
  <c r="N116" i="23"/>
  <c r="M116" i="23"/>
  <c r="L116" i="23"/>
  <c r="K116" i="23"/>
  <c r="J116" i="23"/>
  <c r="Q115" i="23"/>
  <c r="P115" i="23"/>
  <c r="O115" i="23"/>
  <c r="N115" i="23"/>
  <c r="M115" i="23"/>
  <c r="L115" i="23"/>
  <c r="K115" i="23"/>
  <c r="J115" i="23"/>
  <c r="Q114" i="23"/>
  <c r="P114" i="23"/>
  <c r="O114" i="23"/>
  <c r="N114" i="23"/>
  <c r="M114" i="23"/>
  <c r="L114" i="23"/>
  <c r="K114" i="23"/>
  <c r="J114" i="23"/>
  <c r="Q113" i="23"/>
  <c r="P113" i="23"/>
  <c r="O113" i="23"/>
  <c r="N113" i="23"/>
  <c r="M113" i="23"/>
  <c r="L113" i="23"/>
  <c r="K113" i="23"/>
  <c r="J113" i="23"/>
  <c r="Q112" i="23"/>
  <c r="P112" i="23"/>
  <c r="O112" i="23"/>
  <c r="N112" i="23"/>
  <c r="M112" i="23"/>
  <c r="L112" i="23"/>
  <c r="K112" i="23"/>
  <c r="J112" i="23"/>
  <c r="Q111" i="23"/>
  <c r="P111" i="23"/>
  <c r="O111" i="23"/>
  <c r="N111" i="23"/>
  <c r="M111" i="23"/>
  <c r="L111" i="23"/>
  <c r="K111" i="23"/>
  <c r="J111" i="23"/>
  <c r="Q110" i="23"/>
  <c r="P110" i="23"/>
  <c r="O110" i="23"/>
  <c r="N110" i="23"/>
  <c r="M110" i="23"/>
  <c r="L110" i="23"/>
  <c r="K110" i="23"/>
  <c r="J110" i="23"/>
  <c r="Q109" i="23"/>
  <c r="P109" i="23"/>
  <c r="O109" i="23"/>
  <c r="N109" i="23"/>
  <c r="M109" i="23"/>
  <c r="L109" i="23"/>
  <c r="K109" i="23"/>
  <c r="J109" i="23"/>
  <c r="Q108" i="23"/>
  <c r="P108" i="23"/>
  <c r="O108" i="23"/>
  <c r="N108" i="23"/>
  <c r="M108" i="23"/>
  <c r="L108" i="23"/>
  <c r="K108" i="23"/>
  <c r="J108" i="23"/>
  <c r="Q107" i="23"/>
  <c r="P107" i="23"/>
  <c r="O107" i="23"/>
  <c r="N107" i="23"/>
  <c r="M107" i="23"/>
  <c r="L107" i="23"/>
  <c r="K107" i="23"/>
  <c r="J107" i="23"/>
  <c r="Q106" i="23"/>
  <c r="P106" i="23"/>
  <c r="O106" i="23"/>
  <c r="N106" i="23"/>
  <c r="M106" i="23"/>
  <c r="L106" i="23"/>
  <c r="K106" i="23"/>
  <c r="J106" i="23"/>
  <c r="Q60" i="23"/>
  <c r="P60" i="23"/>
  <c r="O60" i="23"/>
  <c r="N60" i="23"/>
  <c r="M60" i="23"/>
  <c r="L60" i="23"/>
  <c r="K60" i="23"/>
  <c r="J60" i="23"/>
  <c r="Q59" i="23"/>
  <c r="P59" i="23"/>
  <c r="O59" i="23"/>
  <c r="N59" i="23"/>
  <c r="M59" i="23"/>
  <c r="L59" i="23"/>
  <c r="K59" i="23"/>
  <c r="J59" i="23"/>
  <c r="Q58" i="23"/>
  <c r="P58" i="23"/>
  <c r="O58" i="23"/>
  <c r="N58" i="23"/>
  <c r="M58" i="23"/>
  <c r="L58" i="23"/>
  <c r="K58" i="23"/>
  <c r="J58" i="23"/>
  <c r="Q57" i="23"/>
  <c r="P57" i="23"/>
  <c r="O57" i="23"/>
  <c r="N57" i="23"/>
  <c r="M57" i="23"/>
  <c r="L57" i="23"/>
  <c r="K57" i="23"/>
  <c r="J57" i="23"/>
  <c r="Q56" i="23"/>
  <c r="P56" i="23"/>
  <c r="O56" i="23"/>
  <c r="N56" i="23"/>
  <c r="M56" i="23"/>
  <c r="L56" i="23"/>
  <c r="K56" i="23"/>
  <c r="J56" i="23"/>
  <c r="Q55" i="23"/>
  <c r="P55" i="23"/>
  <c r="O55" i="23"/>
  <c r="N55" i="23"/>
  <c r="M55" i="23"/>
  <c r="L55" i="23"/>
  <c r="K55" i="23"/>
  <c r="J55" i="23"/>
  <c r="Q54" i="23"/>
  <c r="P54" i="23"/>
  <c r="O54" i="23"/>
  <c r="N54" i="23"/>
  <c r="M54" i="23"/>
  <c r="L54" i="23"/>
  <c r="K54" i="23"/>
  <c r="J54" i="23"/>
  <c r="Q53" i="23"/>
  <c r="P53" i="23"/>
  <c r="O53" i="23"/>
  <c r="N53" i="23"/>
  <c r="M53" i="23"/>
  <c r="L53" i="23"/>
  <c r="K53" i="23"/>
  <c r="J53" i="23"/>
  <c r="Q52" i="23"/>
  <c r="P52" i="23"/>
  <c r="O52" i="23"/>
  <c r="N52" i="23"/>
  <c r="M52" i="23"/>
  <c r="L52" i="23"/>
  <c r="K52" i="23"/>
  <c r="J52" i="23"/>
  <c r="Q51" i="23"/>
  <c r="P51" i="23"/>
  <c r="O51" i="23"/>
  <c r="N51" i="23"/>
  <c r="M51" i="23"/>
  <c r="L51" i="23"/>
  <c r="K51" i="23"/>
  <c r="J51" i="23"/>
  <c r="Q50" i="23"/>
  <c r="P50" i="23"/>
  <c r="O50" i="23"/>
  <c r="N50" i="23"/>
  <c r="M50" i="23"/>
  <c r="L50" i="23"/>
  <c r="K50" i="23"/>
  <c r="J50" i="23"/>
  <c r="Q49" i="23"/>
  <c r="P49" i="23"/>
  <c r="O49" i="23"/>
  <c r="N49" i="23"/>
  <c r="M49" i="23"/>
  <c r="L49" i="23"/>
  <c r="K49" i="23"/>
  <c r="J49" i="23"/>
  <c r="Q48" i="23"/>
  <c r="P48" i="23"/>
  <c r="O48" i="23"/>
  <c r="N48" i="23"/>
  <c r="M48" i="23"/>
  <c r="L48" i="23"/>
  <c r="K48" i="23"/>
  <c r="J48" i="23"/>
  <c r="Q47" i="23"/>
  <c r="P47" i="23"/>
  <c r="O47" i="23"/>
  <c r="N47" i="23"/>
  <c r="M47" i="23"/>
  <c r="L47" i="23"/>
  <c r="K47" i="23"/>
  <c r="J47" i="23"/>
  <c r="AE19" i="23"/>
  <c r="AD19" i="23"/>
  <c r="M19" i="23" s="1"/>
  <c r="AC19" i="23"/>
  <c r="L19" i="23" s="1"/>
  <c r="AB19" i="23"/>
  <c r="K19" i="23" s="1"/>
  <c r="AA19" i="23"/>
  <c r="J19" i="23" s="1"/>
  <c r="Z19" i="23"/>
  <c r="I19" i="23" s="1"/>
  <c r="AE18" i="23"/>
  <c r="AD18" i="23"/>
  <c r="M18" i="23" s="1"/>
  <c r="AC18" i="23"/>
  <c r="L18" i="23" s="1"/>
  <c r="AB18" i="23"/>
  <c r="K18" i="23" s="1"/>
  <c r="AA18" i="23"/>
  <c r="J18" i="23" s="1"/>
  <c r="Z18" i="23"/>
  <c r="I18" i="23" s="1"/>
  <c r="AE17" i="23"/>
  <c r="AD17" i="23"/>
  <c r="M17" i="23" s="1"/>
  <c r="AC17" i="23"/>
  <c r="L17" i="23" s="1"/>
  <c r="AB17" i="23"/>
  <c r="K17" i="23" s="1"/>
  <c r="AA17" i="23"/>
  <c r="J17" i="23" s="1"/>
  <c r="Z17" i="23"/>
  <c r="I17" i="23" s="1"/>
  <c r="AE16" i="23"/>
  <c r="AD16" i="23"/>
  <c r="M16" i="23" s="1"/>
  <c r="AC16" i="23"/>
  <c r="L16" i="23" s="1"/>
  <c r="AB16" i="23"/>
  <c r="K16" i="23" s="1"/>
  <c r="AA16" i="23"/>
  <c r="J16" i="23" s="1"/>
  <c r="Z16" i="23"/>
  <c r="I16" i="23" s="1"/>
  <c r="AE15" i="23"/>
  <c r="AD15" i="23"/>
  <c r="M15" i="23" s="1"/>
  <c r="AC15" i="23"/>
  <c r="L15" i="23" s="1"/>
  <c r="AB15" i="23"/>
  <c r="K15" i="23" s="1"/>
  <c r="AA15" i="23"/>
  <c r="J15" i="23" s="1"/>
  <c r="Z15" i="23"/>
  <c r="I15" i="23" s="1"/>
  <c r="AE14" i="23"/>
  <c r="AD14" i="23"/>
  <c r="M14" i="23" s="1"/>
  <c r="AC14" i="23"/>
  <c r="L14" i="23" s="1"/>
  <c r="AB14" i="23"/>
  <c r="K14" i="23" s="1"/>
  <c r="AA14" i="23"/>
  <c r="J14" i="23" s="1"/>
  <c r="Z14" i="23"/>
  <c r="I14" i="23" s="1"/>
  <c r="AE13" i="23"/>
  <c r="AD13" i="23"/>
  <c r="M13" i="23" s="1"/>
  <c r="AC13" i="23"/>
  <c r="L13" i="23" s="1"/>
  <c r="AB13" i="23"/>
  <c r="K13" i="23" s="1"/>
  <c r="AA13" i="23"/>
  <c r="J13" i="23" s="1"/>
  <c r="Z13" i="23"/>
  <c r="I13" i="23" s="1"/>
  <c r="AE12" i="23"/>
  <c r="AD12" i="23"/>
  <c r="M12" i="23" s="1"/>
  <c r="AC12" i="23"/>
  <c r="L12" i="23" s="1"/>
  <c r="AB12" i="23"/>
  <c r="K12" i="23" s="1"/>
  <c r="AA12" i="23"/>
  <c r="J12" i="23" s="1"/>
  <c r="Z12" i="23"/>
  <c r="I12" i="23" s="1"/>
  <c r="AE11" i="23"/>
  <c r="AD11" i="23"/>
  <c r="M11" i="23" s="1"/>
  <c r="AC11" i="23"/>
  <c r="L11" i="23" s="1"/>
  <c r="AB11" i="23"/>
  <c r="K11" i="23" s="1"/>
  <c r="AA11" i="23"/>
  <c r="J11" i="23" s="1"/>
  <c r="Z11" i="23"/>
  <c r="I11" i="23" s="1"/>
  <c r="AE10" i="23"/>
  <c r="AD10" i="23"/>
  <c r="M10" i="23" s="1"/>
  <c r="AC10" i="23"/>
  <c r="L10" i="23" s="1"/>
  <c r="AB10" i="23"/>
  <c r="K10" i="23" s="1"/>
  <c r="AA10" i="23"/>
  <c r="J10" i="23" s="1"/>
  <c r="Z10" i="23"/>
  <c r="I10" i="23" s="1"/>
  <c r="AE9" i="23"/>
  <c r="N9" i="23" s="1"/>
  <c r="AD9" i="23"/>
  <c r="M9" i="23" s="1"/>
  <c r="AC9" i="23"/>
  <c r="L9" i="23" s="1"/>
  <c r="AB9" i="23"/>
  <c r="K9" i="23" s="1"/>
  <c r="AA9" i="23"/>
  <c r="J9" i="23" s="1"/>
  <c r="Z9" i="23"/>
  <c r="I9" i="23" s="1"/>
  <c r="AE8" i="23"/>
  <c r="AD8" i="23"/>
  <c r="M8" i="23" s="1"/>
  <c r="AC8" i="23"/>
  <c r="L8" i="23" s="1"/>
  <c r="AB8" i="23"/>
  <c r="K8" i="23" s="1"/>
  <c r="AA8" i="23"/>
  <c r="J8" i="23" s="1"/>
  <c r="Z8" i="23"/>
  <c r="I8" i="23" s="1"/>
  <c r="AE7" i="23"/>
  <c r="AD7" i="23"/>
  <c r="M7" i="23" s="1"/>
  <c r="AC7" i="23"/>
  <c r="L7" i="23" s="1"/>
  <c r="AB7" i="23"/>
  <c r="K7" i="23" s="1"/>
  <c r="AA7" i="23"/>
  <c r="J7" i="23" s="1"/>
  <c r="Z7" i="23"/>
  <c r="I7" i="23" s="1"/>
  <c r="AE6" i="23"/>
  <c r="AD6" i="23"/>
  <c r="M6" i="23" s="1"/>
  <c r="AC6" i="23"/>
  <c r="L6" i="23" s="1"/>
  <c r="AB6" i="23"/>
  <c r="K6" i="23" s="1"/>
  <c r="AA6" i="23"/>
  <c r="J6" i="23" s="1"/>
  <c r="Z6" i="23"/>
  <c r="I6" i="23" s="1"/>
  <c r="U19" i="23"/>
  <c r="U18" i="23"/>
  <c r="U17" i="23"/>
  <c r="U16" i="23"/>
  <c r="U15" i="23"/>
  <c r="U14" i="23"/>
  <c r="U13" i="23"/>
  <c r="U12" i="23"/>
  <c r="U11" i="23"/>
  <c r="U10" i="23"/>
  <c r="U9" i="23"/>
  <c r="U8" i="23"/>
  <c r="U7" i="23"/>
  <c r="U6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P20" i="6"/>
  <c r="N20" i="6"/>
  <c r="L20" i="6"/>
  <c r="J20" i="6"/>
  <c r="P19" i="6"/>
  <c r="N19" i="6"/>
  <c r="L19" i="6"/>
  <c r="J19" i="6"/>
  <c r="P18" i="6"/>
  <c r="N18" i="6"/>
  <c r="L18" i="6"/>
  <c r="J18" i="6"/>
  <c r="P17" i="6"/>
  <c r="N17" i="6"/>
  <c r="L17" i="6"/>
  <c r="J17" i="6"/>
  <c r="P16" i="6"/>
  <c r="N16" i="6"/>
  <c r="L16" i="6"/>
  <c r="J16" i="6"/>
  <c r="P15" i="6"/>
  <c r="N15" i="6"/>
  <c r="L15" i="6"/>
  <c r="J15" i="6"/>
  <c r="P14" i="6"/>
  <c r="N14" i="6"/>
  <c r="L14" i="6"/>
  <c r="J14" i="6"/>
  <c r="P13" i="6"/>
  <c r="N13" i="6"/>
  <c r="L13" i="6"/>
  <c r="J13" i="6"/>
  <c r="P12" i="6"/>
  <c r="N12" i="6"/>
  <c r="L12" i="6"/>
  <c r="J12" i="6"/>
  <c r="P11" i="6"/>
  <c r="N11" i="6"/>
  <c r="L11" i="6"/>
  <c r="J11" i="6"/>
  <c r="P10" i="6"/>
  <c r="N10" i="6"/>
  <c r="L10" i="6"/>
  <c r="J10" i="6"/>
  <c r="P9" i="6"/>
  <c r="N9" i="6"/>
  <c r="L9" i="6"/>
  <c r="J9" i="6"/>
  <c r="P8" i="6"/>
  <c r="N8" i="6"/>
  <c r="L8" i="6"/>
  <c r="J8" i="6"/>
  <c r="P7" i="6"/>
  <c r="N7" i="6"/>
  <c r="L7" i="6"/>
  <c r="J7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AE21" i="23"/>
  <c r="AD21" i="23"/>
  <c r="AC21" i="23"/>
  <c r="AB21" i="23"/>
  <c r="AA21" i="23"/>
  <c r="Z21" i="23"/>
  <c r="U21" i="23"/>
  <c r="N11" i="23" l="1"/>
  <c r="N13" i="23"/>
  <c r="N15" i="23"/>
  <c r="N17" i="23"/>
  <c r="N19" i="23"/>
  <c r="N12" i="23"/>
  <c r="N14" i="23"/>
  <c r="N16" i="23"/>
  <c r="N18" i="23"/>
  <c r="N6" i="23"/>
  <c r="N7" i="23"/>
  <c r="N8" i="23"/>
  <c r="N10" i="23"/>
  <c r="I193" i="3"/>
  <c r="I183" i="3"/>
  <c r="I173" i="3"/>
  <c r="I163" i="3"/>
  <c r="I153" i="3"/>
  <c r="I143" i="3"/>
  <c r="I43" i="12"/>
  <c r="I152" i="3" l="1"/>
  <c r="I154" i="3" s="1"/>
  <c r="I172" i="3"/>
  <c r="I174" i="3" s="1"/>
  <c r="I142" i="3"/>
  <c r="I144" i="3" s="1"/>
  <c r="I182" i="3"/>
  <c r="I184" i="3" s="1"/>
  <c r="I192" i="3"/>
  <c r="I194" i="3" s="1"/>
  <c r="I162" i="3"/>
  <c r="I164" i="3" s="1"/>
  <c r="I122" i="19" l="1"/>
  <c r="I118" i="19"/>
  <c r="I114" i="19"/>
  <c r="I110" i="19"/>
  <c r="I121" i="19"/>
  <c r="I117" i="19"/>
  <c r="I113" i="19"/>
  <c r="I116" i="19"/>
  <c r="I115" i="19"/>
  <c r="I120" i="19"/>
  <c r="I119" i="19"/>
  <c r="I123" i="19"/>
  <c r="I112" i="19"/>
  <c r="I111" i="19"/>
  <c r="I81" i="17"/>
  <c r="I77" i="17"/>
  <c r="I73" i="17"/>
  <c r="I69" i="17"/>
  <c r="I80" i="17"/>
  <c r="I78" i="17"/>
  <c r="I72" i="17"/>
  <c r="I76" i="17"/>
  <c r="I71" i="17"/>
  <c r="I82" i="17"/>
  <c r="I75" i="17"/>
  <c r="I79" i="17"/>
  <c r="I74" i="17"/>
  <c r="I70" i="17"/>
  <c r="I80" i="19"/>
  <c r="I76" i="19"/>
  <c r="I72" i="19"/>
  <c r="I79" i="19"/>
  <c r="I75" i="19"/>
  <c r="I71" i="19"/>
  <c r="I77" i="19"/>
  <c r="I69" i="19"/>
  <c r="I74" i="19"/>
  <c r="I81" i="19"/>
  <c r="I78" i="19"/>
  <c r="I82" i="19"/>
  <c r="I73" i="19"/>
  <c r="I70" i="19"/>
  <c r="I163" i="17"/>
  <c r="I159" i="17"/>
  <c r="I155" i="17"/>
  <c r="I151" i="17"/>
  <c r="I162" i="17"/>
  <c r="I158" i="17"/>
  <c r="I154" i="17"/>
  <c r="I164" i="17"/>
  <c r="I156" i="17"/>
  <c r="I161" i="17"/>
  <c r="I160" i="17"/>
  <c r="I157" i="17"/>
  <c r="I153" i="17"/>
  <c r="I152" i="17"/>
  <c r="I162" i="19"/>
  <c r="I158" i="19"/>
  <c r="I154" i="19"/>
  <c r="I161" i="19"/>
  <c r="I157" i="19"/>
  <c r="I153" i="19"/>
  <c r="I160" i="19"/>
  <c r="I152" i="19"/>
  <c r="I164" i="19"/>
  <c r="I155" i="19"/>
  <c r="I159" i="19"/>
  <c r="I151" i="19"/>
  <c r="I156" i="19"/>
  <c r="I163" i="19"/>
  <c r="I123" i="17"/>
  <c r="I119" i="17"/>
  <c r="I115" i="17"/>
  <c r="I111" i="17"/>
  <c r="I122" i="17"/>
  <c r="I118" i="17"/>
  <c r="I114" i="17"/>
  <c r="I110" i="17"/>
  <c r="I120" i="17"/>
  <c r="I112" i="17"/>
  <c r="I117" i="17"/>
  <c r="I116" i="17"/>
  <c r="I121" i="17"/>
  <c r="I113" i="17"/>
  <c r="I63" i="7"/>
  <c r="I30" i="13"/>
  <c r="I32" i="13" s="1"/>
  <c r="I39" i="12" l="1"/>
  <c r="I35" i="12"/>
  <c r="I31" i="12"/>
  <c r="I38" i="12"/>
  <c r="I34" i="12"/>
  <c r="I30" i="12"/>
  <c r="I41" i="12"/>
  <c r="I33" i="12"/>
  <c r="I29" i="12"/>
  <c r="I28" i="12"/>
  <c r="I40" i="12"/>
  <c r="I32" i="12"/>
  <c r="I37" i="12"/>
  <c r="I36" i="12"/>
  <c r="I65" i="7"/>
  <c r="I28" i="11"/>
  <c r="G20" i="35"/>
  <c r="G19" i="35"/>
  <c r="I20" i="12" s="1"/>
  <c r="G18" i="35"/>
  <c r="I19" i="12" s="1"/>
  <c r="G17" i="35"/>
  <c r="I18" i="12" s="1"/>
  <c r="G16" i="35"/>
  <c r="I17" i="12" s="1"/>
  <c r="G15" i="35"/>
  <c r="I16" i="12" s="1"/>
  <c r="G14" i="35"/>
  <c r="I15" i="12" s="1"/>
  <c r="G13" i="35"/>
  <c r="I14" i="12" s="1"/>
  <c r="G12" i="35"/>
  <c r="I13" i="12" s="1"/>
  <c r="G11" i="35"/>
  <c r="I12" i="12" s="1"/>
  <c r="G10" i="35"/>
  <c r="I11" i="12" s="1"/>
  <c r="G9" i="35"/>
  <c r="I10" i="12" s="1"/>
  <c r="G8" i="35"/>
  <c r="I9" i="12" s="1"/>
  <c r="G7" i="35"/>
  <c r="I8" i="12" s="1"/>
  <c r="G6" i="35"/>
  <c r="I7" i="12" s="1"/>
  <c r="F20" i="35"/>
  <c r="F19" i="35"/>
  <c r="I20" i="11" s="1"/>
  <c r="F18" i="35"/>
  <c r="I19" i="11" s="1"/>
  <c r="F17" i="35"/>
  <c r="I18" i="11" s="1"/>
  <c r="F16" i="35"/>
  <c r="I17" i="11" s="1"/>
  <c r="F15" i="35"/>
  <c r="I16" i="11" s="1"/>
  <c r="F14" i="35"/>
  <c r="I15" i="11" s="1"/>
  <c r="F13" i="35"/>
  <c r="I14" i="11" s="1"/>
  <c r="F12" i="35"/>
  <c r="I13" i="11" s="1"/>
  <c r="F11" i="35"/>
  <c r="I12" i="11" s="1"/>
  <c r="F10" i="35"/>
  <c r="I11" i="11" s="1"/>
  <c r="F9" i="35"/>
  <c r="I10" i="11" s="1"/>
  <c r="F8" i="35"/>
  <c r="I9" i="11" s="1"/>
  <c r="F7" i="35"/>
  <c r="I8" i="11" s="1"/>
  <c r="F6" i="35"/>
  <c r="I7" i="11" s="1"/>
  <c r="E20" i="35"/>
  <c r="E19" i="35"/>
  <c r="I20" i="10" s="1"/>
  <c r="E18" i="35"/>
  <c r="I19" i="10" s="1"/>
  <c r="E17" i="35"/>
  <c r="I18" i="10" s="1"/>
  <c r="E16" i="35"/>
  <c r="I17" i="10" s="1"/>
  <c r="E15" i="35"/>
  <c r="I16" i="10" s="1"/>
  <c r="E14" i="35"/>
  <c r="I15" i="10" s="1"/>
  <c r="E13" i="35"/>
  <c r="I14" i="10" s="1"/>
  <c r="E12" i="35"/>
  <c r="I13" i="10" s="1"/>
  <c r="E11" i="35"/>
  <c r="I12" i="10" s="1"/>
  <c r="E10" i="35"/>
  <c r="I11" i="10" s="1"/>
  <c r="E9" i="35"/>
  <c r="I10" i="10" s="1"/>
  <c r="E8" i="35"/>
  <c r="I9" i="10" s="1"/>
  <c r="E7" i="35"/>
  <c r="I8" i="10" s="1"/>
  <c r="E6" i="35"/>
  <c r="I7" i="10" s="1"/>
  <c r="D20" i="35"/>
  <c r="G21" i="35" l="1"/>
  <c r="I22" i="12" s="1"/>
  <c r="E21" i="35"/>
  <c r="F21" i="35"/>
  <c r="F24" i="35" s="1"/>
  <c r="D19" i="35"/>
  <c r="I20" i="19" s="1"/>
  <c r="D18" i="35"/>
  <c r="I19" i="19" s="1"/>
  <c r="D17" i="35"/>
  <c r="I18" i="19" s="1"/>
  <c r="D16" i="35"/>
  <c r="I17" i="19" s="1"/>
  <c r="D15" i="35"/>
  <c r="I16" i="19" s="1"/>
  <c r="D14" i="35"/>
  <c r="I15" i="19" s="1"/>
  <c r="D13" i="35"/>
  <c r="I14" i="19" s="1"/>
  <c r="D12" i="35"/>
  <c r="I13" i="19" s="1"/>
  <c r="D11" i="35"/>
  <c r="I12" i="19" s="1"/>
  <c r="D10" i="35"/>
  <c r="I11" i="19" s="1"/>
  <c r="D9" i="35"/>
  <c r="I10" i="19" s="1"/>
  <c r="D8" i="35"/>
  <c r="I9" i="19" s="1"/>
  <c r="D7" i="35"/>
  <c r="I8" i="19" s="1"/>
  <c r="D6" i="35"/>
  <c r="I7" i="19" s="1"/>
  <c r="C19" i="35"/>
  <c r="I20" i="17" s="1"/>
  <c r="C18" i="35"/>
  <c r="I19" i="17" s="1"/>
  <c r="C17" i="35"/>
  <c r="I18" i="17" s="1"/>
  <c r="C16" i="35"/>
  <c r="I17" i="17" s="1"/>
  <c r="C15" i="35"/>
  <c r="I16" i="17" s="1"/>
  <c r="C14" i="35"/>
  <c r="I15" i="17" s="1"/>
  <c r="C13" i="35"/>
  <c r="I14" i="17" s="1"/>
  <c r="C12" i="35"/>
  <c r="I13" i="17" s="1"/>
  <c r="C11" i="35"/>
  <c r="I12" i="17" s="1"/>
  <c r="C10" i="35"/>
  <c r="I11" i="17" s="1"/>
  <c r="C9" i="35"/>
  <c r="I10" i="17" s="1"/>
  <c r="C8" i="35"/>
  <c r="I9" i="17" s="1"/>
  <c r="C7" i="35"/>
  <c r="I8" i="17" s="1"/>
  <c r="C6" i="35"/>
  <c r="I7" i="17" s="1"/>
  <c r="G21" i="34"/>
  <c r="G23" i="34" s="1"/>
  <c r="I134" i="17" l="1"/>
  <c r="I69" i="23"/>
  <c r="I52" i="17"/>
  <c r="I73" i="23"/>
  <c r="I56" i="17"/>
  <c r="I138" i="17"/>
  <c r="I142" i="17"/>
  <c r="I60" i="17"/>
  <c r="I77" i="23"/>
  <c r="I132" i="19"/>
  <c r="I50" i="19"/>
  <c r="I87" i="23"/>
  <c r="I136" i="19"/>
  <c r="I54" i="19"/>
  <c r="I91" i="23"/>
  <c r="Y12" i="19" s="1"/>
  <c r="I140" i="19"/>
  <c r="I58" i="19"/>
  <c r="I95" i="23"/>
  <c r="I144" i="19"/>
  <c r="I62" i="19"/>
  <c r="I99" i="23"/>
  <c r="I66" i="23"/>
  <c r="I131" i="17"/>
  <c r="I49" i="17"/>
  <c r="I74" i="23"/>
  <c r="I139" i="17"/>
  <c r="I57" i="17"/>
  <c r="I88" i="23"/>
  <c r="I133" i="19"/>
  <c r="I51" i="19"/>
  <c r="I92" i="23"/>
  <c r="I55" i="19"/>
  <c r="I137" i="19"/>
  <c r="I67" i="23"/>
  <c r="I132" i="17"/>
  <c r="I50" i="17"/>
  <c r="I71" i="23"/>
  <c r="I136" i="17"/>
  <c r="I54" i="17"/>
  <c r="I75" i="23"/>
  <c r="I140" i="17"/>
  <c r="I58" i="17"/>
  <c r="I79" i="23"/>
  <c r="I144" i="17"/>
  <c r="I62" i="17"/>
  <c r="I89" i="23"/>
  <c r="I52" i="19"/>
  <c r="I134" i="19"/>
  <c r="Y10" i="19" s="1"/>
  <c r="I93" i="23"/>
  <c r="I138" i="19"/>
  <c r="I56" i="19"/>
  <c r="Y14" i="19" s="1"/>
  <c r="I97" i="23"/>
  <c r="I60" i="19"/>
  <c r="I142" i="19"/>
  <c r="I70" i="23"/>
  <c r="I53" i="17"/>
  <c r="I135" i="17"/>
  <c r="I78" i="23"/>
  <c r="I61" i="17"/>
  <c r="I143" i="17"/>
  <c r="I96" i="23"/>
  <c r="I59" i="19"/>
  <c r="I141" i="19"/>
  <c r="I133" i="17"/>
  <c r="I51" i="17"/>
  <c r="I68" i="23"/>
  <c r="I137" i="17"/>
  <c r="I55" i="17"/>
  <c r="I72" i="23"/>
  <c r="I141" i="17"/>
  <c r="I59" i="17"/>
  <c r="I76" i="23"/>
  <c r="I131" i="19"/>
  <c r="I49" i="19"/>
  <c r="I86" i="23"/>
  <c r="I135" i="19"/>
  <c r="I53" i="19"/>
  <c r="I90" i="23"/>
  <c r="I139" i="19"/>
  <c r="I57" i="19"/>
  <c r="I94" i="23"/>
  <c r="I143" i="19"/>
  <c r="I61" i="19"/>
  <c r="I98" i="23"/>
  <c r="G24" i="35"/>
  <c r="G23" i="35"/>
  <c r="F23" i="35"/>
  <c r="I22" i="11"/>
  <c r="E23" i="35"/>
  <c r="I22" i="10"/>
  <c r="I15" i="35"/>
  <c r="I11" i="35"/>
  <c r="I12" i="35"/>
  <c r="I7" i="35"/>
  <c r="I19" i="35"/>
  <c r="I8" i="35"/>
  <c r="I16" i="35"/>
  <c r="E24" i="35"/>
  <c r="I20" i="34"/>
  <c r="C20" i="35"/>
  <c r="I13" i="35"/>
  <c r="D21" i="35"/>
  <c r="I22" i="19" s="1"/>
  <c r="C21" i="35"/>
  <c r="C23" i="35" s="1"/>
  <c r="I6" i="35"/>
  <c r="I10" i="35"/>
  <c r="I14" i="35"/>
  <c r="I18" i="35"/>
  <c r="I9" i="35"/>
  <c r="I17" i="35"/>
  <c r="I8" i="34"/>
  <c r="E21" i="34"/>
  <c r="E23" i="34" s="1"/>
  <c r="F21" i="34"/>
  <c r="F23" i="34" s="1"/>
  <c r="I12" i="34"/>
  <c r="I16" i="34"/>
  <c r="H21" i="34"/>
  <c r="I9" i="34"/>
  <c r="I13" i="34"/>
  <c r="I14" i="34"/>
  <c r="I11" i="34"/>
  <c r="I15" i="34"/>
  <c r="I7" i="34"/>
  <c r="I19" i="34"/>
  <c r="I18" i="34"/>
  <c r="I17" i="34"/>
  <c r="I10" i="34"/>
  <c r="D21" i="34"/>
  <c r="D23" i="34" s="1"/>
  <c r="I6" i="34"/>
  <c r="C21" i="34"/>
  <c r="C23" i="34" s="1"/>
  <c r="H163" i="3"/>
  <c r="G166" i="17"/>
  <c r="G163" i="3" s="1"/>
  <c r="Y7" i="19" l="1"/>
  <c r="Y20" i="19"/>
  <c r="Y17" i="19"/>
  <c r="Y15" i="19"/>
  <c r="Y11" i="19"/>
  <c r="Y18" i="19"/>
  <c r="Y13" i="19"/>
  <c r="Y9" i="19"/>
  <c r="Y8" i="19"/>
  <c r="Y16" i="19"/>
  <c r="Y19" i="19"/>
  <c r="I103" i="19"/>
  <c r="N99" i="23"/>
  <c r="J99" i="23"/>
  <c r="Q99" i="23"/>
  <c r="M99" i="23"/>
  <c r="P99" i="23"/>
  <c r="L99" i="23"/>
  <c r="O99" i="23"/>
  <c r="K99" i="23"/>
  <c r="I93" i="17"/>
  <c r="N69" i="23"/>
  <c r="J69" i="23"/>
  <c r="Q69" i="23"/>
  <c r="M69" i="23"/>
  <c r="P69" i="23"/>
  <c r="L69" i="23"/>
  <c r="O69" i="23"/>
  <c r="K69" i="23"/>
  <c r="I97" i="19"/>
  <c r="N93" i="23"/>
  <c r="J93" i="23"/>
  <c r="Q93" i="23"/>
  <c r="M93" i="23"/>
  <c r="P93" i="23"/>
  <c r="L93" i="23"/>
  <c r="O93" i="23"/>
  <c r="K93" i="23"/>
  <c r="I103" i="17"/>
  <c r="N79" i="23"/>
  <c r="J79" i="23"/>
  <c r="Q79" i="23"/>
  <c r="M79" i="23"/>
  <c r="P79" i="23"/>
  <c r="L79" i="23"/>
  <c r="O79" i="23"/>
  <c r="K79" i="23"/>
  <c r="I95" i="17"/>
  <c r="N71" i="23"/>
  <c r="J71" i="23"/>
  <c r="Q71" i="23"/>
  <c r="M71" i="23"/>
  <c r="P71" i="23"/>
  <c r="L71" i="23"/>
  <c r="O71" i="23"/>
  <c r="K71" i="23"/>
  <c r="I100" i="19"/>
  <c r="N96" i="23"/>
  <c r="J96" i="23"/>
  <c r="Q96" i="23"/>
  <c r="M96" i="23"/>
  <c r="P96" i="23"/>
  <c r="L96" i="23"/>
  <c r="O96" i="23"/>
  <c r="K96" i="23"/>
  <c r="I92" i="19"/>
  <c r="N88" i="23"/>
  <c r="J88" i="23"/>
  <c r="Q88" i="23"/>
  <c r="M88" i="23"/>
  <c r="P88" i="23"/>
  <c r="L88" i="23"/>
  <c r="O88" i="23"/>
  <c r="K88" i="23"/>
  <c r="I98" i="17"/>
  <c r="N74" i="23"/>
  <c r="J74" i="23"/>
  <c r="Q74" i="23"/>
  <c r="M74" i="23"/>
  <c r="P74" i="23"/>
  <c r="L74" i="23"/>
  <c r="O74" i="23"/>
  <c r="K74" i="23"/>
  <c r="I90" i="17"/>
  <c r="N66" i="23"/>
  <c r="J66" i="23"/>
  <c r="Q66" i="23"/>
  <c r="M66" i="23"/>
  <c r="P66" i="23"/>
  <c r="L66" i="23"/>
  <c r="O66" i="23"/>
  <c r="K66" i="23"/>
  <c r="I91" i="19"/>
  <c r="N87" i="23"/>
  <c r="J87" i="23"/>
  <c r="Q87" i="23"/>
  <c r="M87" i="23"/>
  <c r="P87" i="23"/>
  <c r="L87" i="23"/>
  <c r="O87" i="23"/>
  <c r="K87" i="23"/>
  <c r="I98" i="19"/>
  <c r="N94" i="23"/>
  <c r="J94" i="23"/>
  <c r="Q94" i="23"/>
  <c r="M94" i="23"/>
  <c r="P94" i="23"/>
  <c r="L94" i="23"/>
  <c r="O94" i="23"/>
  <c r="K94" i="23"/>
  <c r="I100" i="17"/>
  <c r="N76" i="23"/>
  <c r="J76" i="23"/>
  <c r="Q76" i="23"/>
  <c r="M76" i="23"/>
  <c r="P76" i="23"/>
  <c r="L76" i="23"/>
  <c r="O76" i="23"/>
  <c r="K76" i="23"/>
  <c r="I94" i="19"/>
  <c r="N90" i="23"/>
  <c r="J90" i="23"/>
  <c r="Q90" i="23"/>
  <c r="M90" i="23"/>
  <c r="P90" i="23"/>
  <c r="L90" i="23"/>
  <c r="O90" i="23"/>
  <c r="K90" i="23"/>
  <c r="I92" i="17"/>
  <c r="N68" i="23"/>
  <c r="J68" i="23"/>
  <c r="Q68" i="23"/>
  <c r="M68" i="23"/>
  <c r="P68" i="23"/>
  <c r="L68" i="23"/>
  <c r="O68" i="23"/>
  <c r="K68" i="23"/>
  <c r="I99" i="19"/>
  <c r="N95" i="23"/>
  <c r="J95" i="23"/>
  <c r="Q95" i="23"/>
  <c r="M95" i="23"/>
  <c r="P95" i="23"/>
  <c r="L95" i="23"/>
  <c r="O95" i="23"/>
  <c r="K95" i="23"/>
  <c r="I97" i="17"/>
  <c r="N73" i="23"/>
  <c r="J73" i="23"/>
  <c r="Q73" i="23"/>
  <c r="M73" i="23"/>
  <c r="P73" i="23"/>
  <c r="L73" i="23"/>
  <c r="O73" i="23"/>
  <c r="K73" i="23"/>
  <c r="I101" i="19"/>
  <c r="N97" i="23"/>
  <c r="J97" i="23"/>
  <c r="Q97" i="23"/>
  <c r="M97" i="23"/>
  <c r="P97" i="23"/>
  <c r="L97" i="23"/>
  <c r="O97" i="23"/>
  <c r="K97" i="23"/>
  <c r="I93" i="19"/>
  <c r="N89" i="23"/>
  <c r="J89" i="23"/>
  <c r="Q89" i="23"/>
  <c r="M89" i="23"/>
  <c r="P89" i="23"/>
  <c r="L89" i="23"/>
  <c r="O89" i="23"/>
  <c r="K89" i="23"/>
  <c r="I99" i="17"/>
  <c r="N75" i="23"/>
  <c r="J75" i="23"/>
  <c r="Q75" i="23"/>
  <c r="M75" i="23"/>
  <c r="P75" i="23"/>
  <c r="L75" i="23"/>
  <c r="O75" i="23"/>
  <c r="K75" i="23"/>
  <c r="I91" i="17"/>
  <c r="N67" i="23"/>
  <c r="J67" i="23"/>
  <c r="Q67" i="23"/>
  <c r="M67" i="23"/>
  <c r="P67" i="23"/>
  <c r="L67" i="23"/>
  <c r="O67" i="23"/>
  <c r="K67" i="23"/>
  <c r="I96" i="19"/>
  <c r="N92" i="23"/>
  <c r="J92" i="23"/>
  <c r="Q92" i="23"/>
  <c r="M92" i="23"/>
  <c r="P92" i="23"/>
  <c r="L92" i="23"/>
  <c r="O92" i="23"/>
  <c r="K92" i="23"/>
  <c r="I102" i="17"/>
  <c r="N78" i="23"/>
  <c r="J78" i="23"/>
  <c r="Q78" i="23"/>
  <c r="M78" i="23"/>
  <c r="P78" i="23"/>
  <c r="L78" i="23"/>
  <c r="O78" i="23"/>
  <c r="K78" i="23"/>
  <c r="I94" i="17"/>
  <c r="N70" i="23"/>
  <c r="J70" i="23"/>
  <c r="Q70" i="23"/>
  <c r="M70" i="23"/>
  <c r="P70" i="23"/>
  <c r="L70" i="23"/>
  <c r="O70" i="23"/>
  <c r="K70" i="23"/>
  <c r="I95" i="19"/>
  <c r="N91" i="23"/>
  <c r="J91" i="23"/>
  <c r="Q91" i="23"/>
  <c r="M91" i="23"/>
  <c r="P91" i="23"/>
  <c r="L91" i="23"/>
  <c r="O91" i="23"/>
  <c r="K91" i="23"/>
  <c r="I101" i="17"/>
  <c r="N77" i="23"/>
  <c r="J77" i="23"/>
  <c r="Q77" i="23"/>
  <c r="M77" i="23"/>
  <c r="P77" i="23"/>
  <c r="L77" i="23"/>
  <c r="O77" i="23"/>
  <c r="K77" i="23"/>
  <c r="I90" i="19"/>
  <c r="N86" i="23"/>
  <c r="J86" i="23"/>
  <c r="Q86" i="23"/>
  <c r="M86" i="23"/>
  <c r="P86" i="23"/>
  <c r="L86" i="23"/>
  <c r="O86" i="23"/>
  <c r="K86" i="23"/>
  <c r="I102" i="19"/>
  <c r="N98" i="23"/>
  <c r="J98" i="23"/>
  <c r="Q98" i="23"/>
  <c r="M98" i="23"/>
  <c r="P98" i="23"/>
  <c r="L98" i="23"/>
  <c r="O98" i="23"/>
  <c r="K98" i="23"/>
  <c r="I96" i="17"/>
  <c r="N72" i="23"/>
  <c r="J72" i="23"/>
  <c r="Q72" i="23"/>
  <c r="M72" i="23"/>
  <c r="P72" i="23"/>
  <c r="L72" i="23"/>
  <c r="O72" i="23"/>
  <c r="K72" i="23"/>
  <c r="C24" i="35"/>
  <c r="I22" i="17"/>
  <c r="I20" i="35"/>
  <c r="D24" i="35"/>
  <c r="D23" i="35"/>
  <c r="H17" i="35"/>
  <c r="K17" i="35" s="1"/>
  <c r="H13" i="35"/>
  <c r="K13" i="35" s="1"/>
  <c r="H9" i="35"/>
  <c r="K9" i="35" s="1"/>
  <c r="H16" i="35"/>
  <c r="K16" i="35" s="1"/>
  <c r="H12" i="35"/>
  <c r="K12" i="35" s="1"/>
  <c r="H8" i="35"/>
  <c r="H19" i="35"/>
  <c r="K19" i="35" s="1"/>
  <c r="H15" i="35"/>
  <c r="K15" i="35" s="1"/>
  <c r="H11" i="35"/>
  <c r="K11" i="35" s="1"/>
  <c r="H7" i="35"/>
  <c r="K7" i="35" s="1"/>
  <c r="H18" i="35"/>
  <c r="K18" i="35" s="1"/>
  <c r="H14" i="35"/>
  <c r="K14" i="35" s="1"/>
  <c r="H10" i="35"/>
  <c r="K10" i="35" s="1"/>
  <c r="H6" i="35"/>
  <c r="K6" i="35" s="1"/>
  <c r="H153" i="3"/>
  <c r="G125" i="17"/>
  <c r="G153" i="3" s="1"/>
  <c r="Y21" i="19" l="1"/>
  <c r="H21" i="35"/>
  <c r="K8" i="35"/>
  <c r="C6" i="30"/>
  <c r="H143" i="3"/>
  <c r="G84" i="17"/>
  <c r="G143" i="3" s="1"/>
  <c r="H193" i="3" l="1"/>
  <c r="G166" i="19"/>
  <c r="G193" i="3" s="1"/>
  <c r="H183" i="3"/>
  <c r="G125" i="19"/>
  <c r="G183" i="3" s="1"/>
  <c r="H173" i="3"/>
  <c r="G84" i="19"/>
  <c r="G173" i="3" s="1"/>
  <c r="G28" i="10"/>
  <c r="G140" i="3"/>
  <c r="G191" i="3"/>
  <c r="G190" i="3"/>
  <c r="G180" i="3"/>
  <c r="G181" i="3"/>
  <c r="G171" i="3"/>
  <c r="G170" i="3"/>
  <c r="H221" i="26"/>
  <c r="G221" i="26"/>
  <c r="G192" i="3" l="1"/>
  <c r="G194" i="3" s="1"/>
  <c r="G161" i="19" s="1"/>
  <c r="H24" i="22"/>
  <c r="H236" i="26" s="1"/>
  <c r="G24" i="22"/>
  <c r="G236" i="26" s="1"/>
  <c r="G163" i="19"/>
  <c r="G159" i="19"/>
  <c r="G155" i="19"/>
  <c r="G162" i="19"/>
  <c r="G158" i="19"/>
  <c r="G154" i="19"/>
  <c r="G151" i="19"/>
  <c r="G153" i="19"/>
  <c r="G157" i="19"/>
  <c r="G182" i="3"/>
  <c r="G184" i="3" s="1"/>
  <c r="H192" i="3"/>
  <c r="H194" i="3" s="1"/>
  <c r="H182" i="3"/>
  <c r="H184" i="3" s="1"/>
  <c r="H172" i="3"/>
  <c r="H174" i="3" s="1"/>
  <c r="G172" i="3"/>
  <c r="G174" i="3" s="1"/>
  <c r="H162" i="3"/>
  <c r="H164" i="3" s="1"/>
  <c r="G161" i="3"/>
  <c r="G160" i="3"/>
  <c r="G150" i="3"/>
  <c r="G151" i="3"/>
  <c r="G141" i="3"/>
  <c r="G142" i="3" s="1"/>
  <c r="G144" i="3" s="1"/>
  <c r="F141" i="3"/>
  <c r="G193" i="18"/>
  <c r="H193" i="18"/>
  <c r="G172" i="18"/>
  <c r="H172" i="18"/>
  <c r="G109" i="18"/>
  <c r="H109" i="18"/>
  <c r="G67" i="18"/>
  <c r="H67" i="18"/>
  <c r="G28" i="6"/>
  <c r="H28" i="6"/>
  <c r="G115" i="26"/>
  <c r="G160" i="26"/>
  <c r="G55" i="26"/>
  <c r="G175" i="26"/>
  <c r="G10" i="26"/>
  <c r="G130" i="26"/>
  <c r="G100" i="26"/>
  <c r="G40" i="26"/>
  <c r="G190" i="26"/>
  <c r="G70" i="26"/>
  <c r="H80" i="19" l="1"/>
  <c r="H76" i="19"/>
  <c r="H72" i="19"/>
  <c r="H73" i="19"/>
  <c r="H79" i="19"/>
  <c r="H75" i="19"/>
  <c r="H71" i="19"/>
  <c r="H81" i="19"/>
  <c r="H69" i="19"/>
  <c r="H82" i="19"/>
  <c r="H78" i="19"/>
  <c r="H74" i="19"/>
  <c r="H70" i="19"/>
  <c r="H77" i="19"/>
  <c r="H122" i="19"/>
  <c r="H118" i="19"/>
  <c r="H114" i="19"/>
  <c r="H110" i="19"/>
  <c r="H123" i="19"/>
  <c r="H111" i="19"/>
  <c r="H121" i="19"/>
  <c r="H117" i="19"/>
  <c r="H113" i="19"/>
  <c r="H119" i="19"/>
  <c r="H120" i="19"/>
  <c r="H116" i="19"/>
  <c r="H112" i="19"/>
  <c r="H115" i="19"/>
  <c r="H163" i="17"/>
  <c r="H159" i="17"/>
  <c r="H155" i="17"/>
  <c r="H151" i="17"/>
  <c r="H160" i="17"/>
  <c r="H162" i="17"/>
  <c r="H158" i="17"/>
  <c r="H154" i="17"/>
  <c r="H164" i="17"/>
  <c r="H152" i="17"/>
  <c r="H161" i="17"/>
  <c r="H157" i="17"/>
  <c r="H153" i="17"/>
  <c r="H156" i="17"/>
  <c r="H162" i="19"/>
  <c r="H158" i="19"/>
  <c r="H154" i="19"/>
  <c r="H159" i="19"/>
  <c r="H161" i="19"/>
  <c r="H157" i="19"/>
  <c r="H153" i="19"/>
  <c r="H155" i="19"/>
  <c r="H164" i="19"/>
  <c r="H160" i="19"/>
  <c r="H156" i="19"/>
  <c r="H152" i="19"/>
  <c r="H163" i="19"/>
  <c r="H151" i="19"/>
  <c r="G152" i="19"/>
  <c r="G156" i="19"/>
  <c r="G160" i="19"/>
  <c r="G164" i="19"/>
  <c r="H152" i="3"/>
  <c r="H154" i="3" s="1"/>
  <c r="G162" i="3"/>
  <c r="G164" i="3" s="1"/>
  <c r="G81" i="17"/>
  <c r="G77" i="17"/>
  <c r="G73" i="17"/>
  <c r="G69" i="17"/>
  <c r="G79" i="17"/>
  <c r="G71" i="17"/>
  <c r="G80" i="17"/>
  <c r="G76" i="17"/>
  <c r="G72" i="17"/>
  <c r="G75" i="17"/>
  <c r="G78" i="17"/>
  <c r="G74" i="17"/>
  <c r="G70" i="17"/>
  <c r="G82" i="17"/>
  <c r="G80" i="19"/>
  <c r="G76" i="19"/>
  <c r="G72" i="19"/>
  <c r="G79" i="19"/>
  <c r="G75" i="19"/>
  <c r="G71" i="19"/>
  <c r="G81" i="19"/>
  <c r="G78" i="19"/>
  <c r="G74" i="19"/>
  <c r="G70" i="19"/>
  <c r="G73" i="19"/>
  <c r="G69" i="19"/>
  <c r="G82" i="19"/>
  <c r="G77" i="19"/>
  <c r="G123" i="19"/>
  <c r="G119" i="19"/>
  <c r="G115" i="19"/>
  <c r="G111" i="19"/>
  <c r="G29" i="19" s="1"/>
  <c r="G122" i="19"/>
  <c r="G118" i="19"/>
  <c r="G114" i="19"/>
  <c r="G110" i="19"/>
  <c r="G121" i="19"/>
  <c r="G117" i="19"/>
  <c r="G113" i="19"/>
  <c r="G116" i="19"/>
  <c r="G112" i="19"/>
  <c r="G120" i="19"/>
  <c r="G152" i="3"/>
  <c r="G154" i="3" s="1"/>
  <c r="H142" i="3"/>
  <c r="H144" i="3" s="1"/>
  <c r="H85" i="26"/>
  <c r="H205" i="26"/>
  <c r="H114" i="26"/>
  <c r="H115" i="26"/>
  <c r="H99" i="26"/>
  <c r="H25" i="26"/>
  <c r="H54" i="26"/>
  <c r="H24" i="26"/>
  <c r="G145" i="26"/>
  <c r="H174" i="26"/>
  <c r="H70" i="26"/>
  <c r="H160" i="26"/>
  <c r="H190" i="26"/>
  <c r="H130" i="26"/>
  <c r="G25" i="26"/>
  <c r="H189" i="26"/>
  <c r="H144" i="26"/>
  <c r="H129" i="26"/>
  <c r="G85" i="26"/>
  <c r="H69" i="26"/>
  <c r="G205" i="26"/>
  <c r="H40" i="26"/>
  <c r="H100" i="26"/>
  <c r="H39" i="26"/>
  <c r="H10" i="26"/>
  <c r="H145" i="26"/>
  <c r="H9" i="26"/>
  <c r="H159" i="26"/>
  <c r="H84" i="26"/>
  <c r="H175" i="26"/>
  <c r="H55" i="26"/>
  <c r="H204" i="26"/>
  <c r="H81" i="17" l="1"/>
  <c r="H77" i="17"/>
  <c r="H73" i="17"/>
  <c r="H73" i="8" s="1"/>
  <c r="H69" i="17"/>
  <c r="H69" i="8" s="1"/>
  <c r="H82" i="17"/>
  <c r="H70" i="17"/>
  <c r="H80" i="17"/>
  <c r="H80" i="8" s="1"/>
  <c r="H76" i="17"/>
  <c r="H76" i="8" s="1"/>
  <c r="H72" i="17"/>
  <c r="H78" i="17"/>
  <c r="H79" i="17"/>
  <c r="H79" i="8" s="1"/>
  <c r="H75" i="17"/>
  <c r="H75" i="8" s="1"/>
  <c r="H71" i="17"/>
  <c r="H74" i="17"/>
  <c r="H123" i="17"/>
  <c r="H119" i="17"/>
  <c r="H119" i="8" s="1"/>
  <c r="H115" i="17"/>
  <c r="H111" i="17"/>
  <c r="H116" i="17"/>
  <c r="H116" i="8" s="1"/>
  <c r="H122" i="17"/>
  <c r="H122" i="8" s="1"/>
  <c r="H118" i="17"/>
  <c r="H114" i="17"/>
  <c r="H110" i="17"/>
  <c r="H121" i="17"/>
  <c r="H121" i="8" s="1"/>
  <c r="H117" i="17"/>
  <c r="H113" i="17"/>
  <c r="H120" i="17"/>
  <c r="H120" i="8" s="1"/>
  <c r="H112" i="17"/>
  <c r="H112" i="8" s="1"/>
  <c r="H38" i="19"/>
  <c r="G165" i="19"/>
  <c r="G23" i="22" s="1"/>
  <c r="H41" i="19"/>
  <c r="H34" i="19"/>
  <c r="H31" i="19"/>
  <c r="G220" i="26"/>
  <c r="G235" i="26" s="1"/>
  <c r="G82" i="8"/>
  <c r="G75" i="8"/>
  <c r="G41" i="19"/>
  <c r="H118" i="8"/>
  <c r="H35" i="19"/>
  <c r="H39" i="19"/>
  <c r="G71" i="8"/>
  <c r="G77" i="8"/>
  <c r="H115" i="8"/>
  <c r="H219" i="26"/>
  <c r="H220" i="26"/>
  <c r="G164" i="17"/>
  <c r="G160" i="17"/>
  <c r="G156" i="17"/>
  <c r="G152" i="17"/>
  <c r="G163" i="17"/>
  <c r="G159" i="17"/>
  <c r="G155" i="17"/>
  <c r="G151" i="17"/>
  <c r="G162" i="17"/>
  <c r="G158" i="17"/>
  <c r="G154" i="17"/>
  <c r="G161" i="17"/>
  <c r="G157" i="17"/>
  <c r="G153" i="17"/>
  <c r="H154" i="8"/>
  <c r="G70" i="8"/>
  <c r="G72" i="8"/>
  <c r="G79" i="8"/>
  <c r="G81" i="8"/>
  <c r="H113" i="8"/>
  <c r="H110" i="8"/>
  <c r="H151" i="8"/>
  <c r="H165" i="17"/>
  <c r="H22" i="22" s="1"/>
  <c r="H152" i="8"/>
  <c r="H153" i="8"/>
  <c r="H158" i="8"/>
  <c r="H164" i="8"/>
  <c r="G74" i="8"/>
  <c r="G76" i="8"/>
  <c r="G69" i="8"/>
  <c r="H117" i="8"/>
  <c r="H114" i="8"/>
  <c r="H155" i="8"/>
  <c r="H156" i="8"/>
  <c r="H157" i="8"/>
  <c r="H162" i="8"/>
  <c r="H163" i="8"/>
  <c r="G78" i="8"/>
  <c r="G80" i="8"/>
  <c r="G73" i="8"/>
  <c r="H123" i="8"/>
  <c r="H111" i="8"/>
  <c r="H159" i="8"/>
  <c r="H160" i="8"/>
  <c r="H161" i="8"/>
  <c r="G39" i="19"/>
  <c r="H28" i="19"/>
  <c r="H83" i="19"/>
  <c r="G120" i="17"/>
  <c r="G116" i="17"/>
  <c r="G116" i="8" s="1"/>
  <c r="G112" i="17"/>
  <c r="G112" i="8" s="1"/>
  <c r="G117" i="17"/>
  <c r="G117" i="8" s="1"/>
  <c r="G123" i="17"/>
  <c r="G119" i="17"/>
  <c r="G115" i="17"/>
  <c r="G115" i="8" s="1"/>
  <c r="G111" i="17"/>
  <c r="G111" i="8" s="1"/>
  <c r="G113" i="17"/>
  <c r="G122" i="17"/>
  <c r="G122" i="8" s="1"/>
  <c r="G118" i="17"/>
  <c r="G114" i="17"/>
  <c r="G114" i="8" s="1"/>
  <c r="G110" i="17"/>
  <c r="G121" i="17"/>
  <c r="G121" i="8" s="1"/>
  <c r="H32" i="19"/>
  <c r="H33" i="19"/>
  <c r="H29" i="19"/>
  <c r="H36" i="19"/>
  <c r="H124" i="19"/>
  <c r="H30" i="19"/>
  <c r="H37" i="19"/>
  <c r="H40" i="19"/>
  <c r="H165" i="19"/>
  <c r="H23" i="22" s="1"/>
  <c r="G36" i="19"/>
  <c r="G35" i="19"/>
  <c r="H71" i="8"/>
  <c r="H81" i="8"/>
  <c r="H77" i="8"/>
  <c r="H82" i="8"/>
  <c r="H78" i="8"/>
  <c r="H74" i="8"/>
  <c r="H70" i="8"/>
  <c r="H72" i="8"/>
  <c r="G124" i="19"/>
  <c r="G83" i="19"/>
  <c r="G30" i="19"/>
  <c r="G83" i="17"/>
  <c r="G33" i="19"/>
  <c r="G34" i="19"/>
  <c r="G28" i="19"/>
  <c r="G37" i="19"/>
  <c r="G38" i="19"/>
  <c r="G32" i="19"/>
  <c r="G40" i="19"/>
  <c r="G31" i="19"/>
  <c r="G64" i="7"/>
  <c r="G62" i="7"/>
  <c r="G61" i="7"/>
  <c r="G84" i="26"/>
  <c r="G38" i="26"/>
  <c r="G128" i="26"/>
  <c r="G53" i="26"/>
  <c r="H23" i="26"/>
  <c r="G144" i="26"/>
  <c r="G159" i="26"/>
  <c r="G98" i="26"/>
  <c r="H8" i="26"/>
  <c r="H203" i="26"/>
  <c r="G54" i="26"/>
  <c r="G143" i="26"/>
  <c r="G129" i="26"/>
  <c r="H188" i="26"/>
  <c r="H158" i="26"/>
  <c r="G9" i="26"/>
  <c r="G39" i="26"/>
  <c r="G188" i="26"/>
  <c r="G189" i="26"/>
  <c r="G203" i="26"/>
  <c r="H128" i="26"/>
  <c r="H38" i="26"/>
  <c r="H143" i="26"/>
  <c r="G24" i="26"/>
  <c r="G204" i="26"/>
  <c r="G99" i="26"/>
  <c r="H68" i="26"/>
  <c r="G69" i="26"/>
  <c r="G23" i="26"/>
  <c r="H173" i="26"/>
  <c r="G158" i="26"/>
  <c r="G174" i="26"/>
  <c r="G83" i="26"/>
  <c r="H83" i="26"/>
  <c r="G113" i="26"/>
  <c r="G68" i="26"/>
  <c r="H98" i="26"/>
  <c r="H53" i="26"/>
  <c r="H113" i="26"/>
  <c r="G8" i="26"/>
  <c r="G114" i="26"/>
  <c r="G173" i="26"/>
  <c r="H41" i="8" l="1"/>
  <c r="H40" i="8"/>
  <c r="G33" i="17"/>
  <c r="G100" i="3" s="1"/>
  <c r="G32" i="17"/>
  <c r="G99" i="3" s="1"/>
  <c r="G30" i="17"/>
  <c r="G97" i="3" s="1"/>
  <c r="H35" i="8"/>
  <c r="G34" i="17"/>
  <c r="G101" i="3" s="1"/>
  <c r="G39" i="17"/>
  <c r="G40" i="17"/>
  <c r="H36" i="8"/>
  <c r="H28" i="8"/>
  <c r="H30" i="8"/>
  <c r="G29" i="17"/>
  <c r="G96" i="3" s="1"/>
  <c r="H31" i="8"/>
  <c r="H33" i="8"/>
  <c r="G35" i="17"/>
  <c r="H37" i="8"/>
  <c r="H38" i="8"/>
  <c r="G219" i="26"/>
  <c r="H218" i="26"/>
  <c r="G218" i="26"/>
  <c r="G41" i="17"/>
  <c r="G123" i="8"/>
  <c r="G161" i="8"/>
  <c r="H32" i="8"/>
  <c r="H34" i="8"/>
  <c r="H124" i="8"/>
  <c r="G154" i="8"/>
  <c r="G155" i="8"/>
  <c r="G32" i="8" s="1"/>
  <c r="G156" i="8"/>
  <c r="G33" i="8" s="1"/>
  <c r="G124" i="17"/>
  <c r="G110" i="8"/>
  <c r="G151" i="8"/>
  <c r="G165" i="17"/>
  <c r="G22" i="22" s="1"/>
  <c r="G36" i="17"/>
  <c r="G103" i="3" s="1"/>
  <c r="G118" i="8"/>
  <c r="G153" i="8"/>
  <c r="G30" i="8" s="1"/>
  <c r="G158" i="8"/>
  <c r="G35" i="8" s="1"/>
  <c r="G159" i="8"/>
  <c r="G160" i="8"/>
  <c r="H235" i="26"/>
  <c r="H83" i="8"/>
  <c r="H29" i="8"/>
  <c r="G31" i="17"/>
  <c r="G113" i="8"/>
  <c r="G38" i="17"/>
  <c r="G105" i="3" s="1"/>
  <c r="G120" i="8"/>
  <c r="G152" i="8"/>
  <c r="G29" i="8" s="1"/>
  <c r="H39" i="8"/>
  <c r="H124" i="17"/>
  <c r="G37" i="17"/>
  <c r="G104" i="3" s="1"/>
  <c r="G119" i="8"/>
  <c r="G83" i="8"/>
  <c r="H165" i="8"/>
  <c r="G157" i="8"/>
  <c r="G34" i="8" s="1"/>
  <c r="G162" i="8"/>
  <c r="G39" i="8" s="1"/>
  <c r="G163" i="8"/>
  <c r="G40" i="8" s="1"/>
  <c r="G164" i="8"/>
  <c r="H234" i="26"/>
  <c r="H42" i="19"/>
  <c r="H21" i="22" s="1"/>
  <c r="G28" i="17"/>
  <c r="H39" i="17"/>
  <c r="H41" i="17"/>
  <c r="H40" i="17"/>
  <c r="G42" i="19"/>
  <c r="G21" i="22" s="1"/>
  <c r="H29" i="17"/>
  <c r="H83" i="17"/>
  <c r="H28" i="17"/>
  <c r="H30" i="17"/>
  <c r="H31" i="17"/>
  <c r="H33" i="17"/>
  <c r="H32" i="17"/>
  <c r="H34" i="17"/>
  <c r="H35" i="17"/>
  <c r="H37" i="17"/>
  <c r="H36" i="17"/>
  <c r="H38" i="17"/>
  <c r="H63" i="7"/>
  <c r="G63" i="7"/>
  <c r="G52" i="26"/>
  <c r="G157" i="26"/>
  <c r="G37" i="26"/>
  <c r="G22" i="26"/>
  <c r="H172" i="26"/>
  <c r="G172" i="26"/>
  <c r="H52" i="26"/>
  <c r="H112" i="26"/>
  <c r="G142" i="26"/>
  <c r="H7" i="26"/>
  <c r="H22" i="26"/>
  <c r="G202" i="26"/>
  <c r="H187" i="26"/>
  <c r="G97" i="26"/>
  <c r="G127" i="26"/>
  <c r="G187" i="26"/>
  <c r="H97" i="26"/>
  <c r="H82" i="26"/>
  <c r="G67" i="26"/>
  <c r="G112" i="26"/>
  <c r="H157" i="26"/>
  <c r="G82" i="26"/>
  <c r="H37" i="26"/>
  <c r="H142" i="26"/>
  <c r="H127" i="26"/>
  <c r="G7" i="26"/>
  <c r="H67" i="26"/>
  <c r="H202" i="26"/>
  <c r="G31" i="8" l="1"/>
  <c r="G119" i="3"/>
  <c r="G121" i="3"/>
  <c r="G38" i="8"/>
  <c r="G125" i="3" s="1"/>
  <c r="G120" i="3"/>
  <c r="G116" i="3"/>
  <c r="G106" i="3"/>
  <c r="G126" i="3" s="1"/>
  <c r="G107" i="3"/>
  <c r="G127" i="3" s="1"/>
  <c r="G102" i="3"/>
  <c r="G122" i="3" s="1"/>
  <c r="G37" i="8"/>
  <c r="G124" i="3" s="1"/>
  <c r="G41" i="8"/>
  <c r="G217" i="26"/>
  <c r="H217" i="26"/>
  <c r="H104" i="3"/>
  <c r="H124" i="3" s="1"/>
  <c r="H108" i="3"/>
  <c r="H128" i="3" s="1"/>
  <c r="G117" i="3"/>
  <c r="G124" i="8"/>
  <c r="H102" i="3"/>
  <c r="H122" i="3" s="1"/>
  <c r="H98" i="3"/>
  <c r="H118" i="3" s="1"/>
  <c r="H106" i="3"/>
  <c r="G28" i="8"/>
  <c r="G108" i="3"/>
  <c r="H105" i="3"/>
  <c r="H125" i="3" s="1"/>
  <c r="G42" i="17"/>
  <c r="G20" i="22" s="1"/>
  <c r="H42" i="8"/>
  <c r="G36" i="8"/>
  <c r="G123" i="3" s="1"/>
  <c r="G165" i="8"/>
  <c r="G233" i="26"/>
  <c r="G234" i="26"/>
  <c r="H100" i="3"/>
  <c r="H120" i="3" s="1"/>
  <c r="H96" i="3"/>
  <c r="H116" i="3" s="1"/>
  <c r="H126" i="3"/>
  <c r="H101" i="3"/>
  <c r="H121" i="3" s="1"/>
  <c r="H97" i="3"/>
  <c r="H117" i="3" s="1"/>
  <c r="H103" i="3"/>
  <c r="H123" i="3" s="1"/>
  <c r="H99" i="3"/>
  <c r="H119" i="3" s="1"/>
  <c r="H107" i="3"/>
  <c r="H127" i="3" s="1"/>
  <c r="G98" i="3"/>
  <c r="G118" i="3" s="1"/>
  <c r="H233" i="26"/>
  <c r="G95" i="3"/>
  <c r="H95" i="3"/>
  <c r="H42" i="17"/>
  <c r="H20" i="22" s="1"/>
  <c r="G65" i="7"/>
  <c r="G28" i="11"/>
  <c r="H65" i="7"/>
  <c r="H28" i="11"/>
  <c r="H43" i="12"/>
  <c r="G31" i="13"/>
  <c r="G43" i="12" s="1"/>
  <c r="G29" i="13"/>
  <c r="G28" i="13"/>
  <c r="F28" i="13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19" i="30"/>
  <c r="H18" i="30"/>
  <c r="H17" i="30"/>
  <c r="H16" i="30"/>
  <c r="H15" i="30"/>
  <c r="H14" i="30"/>
  <c r="H13" i="30"/>
  <c r="H12" i="30"/>
  <c r="H11" i="30"/>
  <c r="H10" i="30"/>
  <c r="H9" i="30"/>
  <c r="H8" i="30"/>
  <c r="H7" i="30"/>
  <c r="H6" i="30"/>
  <c r="H19" i="20"/>
  <c r="H19" i="14"/>
  <c r="H19" i="1"/>
  <c r="H18" i="20"/>
  <c r="H18" i="14"/>
  <c r="H18" i="1"/>
  <c r="H17" i="20"/>
  <c r="H17" i="14"/>
  <c r="H17" i="1"/>
  <c r="H16" i="20"/>
  <c r="H16" i="14"/>
  <c r="H16" i="1"/>
  <c r="H15" i="20"/>
  <c r="H15" i="14"/>
  <c r="H15" i="1"/>
  <c r="H14" i="20"/>
  <c r="H14" i="14"/>
  <c r="H14" i="1"/>
  <c r="H13" i="20"/>
  <c r="H13" i="14"/>
  <c r="H13" i="1"/>
  <c r="H12" i="20"/>
  <c r="H12" i="14"/>
  <c r="H12" i="1"/>
  <c r="H11" i="20"/>
  <c r="H11" i="14"/>
  <c r="H11" i="1"/>
  <c r="H10" i="20"/>
  <c r="H10" i="14"/>
  <c r="H10" i="1"/>
  <c r="H9" i="20"/>
  <c r="H9" i="14"/>
  <c r="H9" i="1"/>
  <c r="H8" i="20"/>
  <c r="H8" i="14"/>
  <c r="H8" i="1"/>
  <c r="H7" i="20"/>
  <c r="H7" i="14"/>
  <c r="H7" i="1"/>
  <c r="H6" i="20"/>
  <c r="H6" i="14"/>
  <c r="H6" i="1"/>
  <c r="G22" i="30"/>
  <c r="F22" i="30"/>
  <c r="E22" i="30"/>
  <c r="D22" i="30"/>
  <c r="C22" i="30"/>
  <c r="G20" i="30"/>
  <c r="F20" i="30"/>
  <c r="E20" i="30"/>
  <c r="D20" i="30"/>
  <c r="C20" i="30"/>
  <c r="G19" i="30"/>
  <c r="F19" i="30"/>
  <c r="E19" i="30"/>
  <c r="D19" i="30"/>
  <c r="C19" i="30"/>
  <c r="G18" i="30"/>
  <c r="F18" i="30"/>
  <c r="E18" i="30"/>
  <c r="D18" i="30"/>
  <c r="C18" i="30"/>
  <c r="G17" i="30"/>
  <c r="F17" i="30"/>
  <c r="E17" i="30"/>
  <c r="D17" i="30"/>
  <c r="C17" i="30"/>
  <c r="G16" i="30"/>
  <c r="F16" i="30"/>
  <c r="E16" i="30"/>
  <c r="D16" i="30"/>
  <c r="C16" i="30"/>
  <c r="G15" i="30"/>
  <c r="F15" i="30"/>
  <c r="E15" i="30"/>
  <c r="D15" i="30"/>
  <c r="C15" i="30"/>
  <c r="G14" i="30"/>
  <c r="F14" i="30"/>
  <c r="E14" i="30"/>
  <c r="D14" i="30"/>
  <c r="C14" i="30"/>
  <c r="G13" i="30"/>
  <c r="F13" i="30"/>
  <c r="E13" i="30"/>
  <c r="D13" i="30"/>
  <c r="C13" i="30"/>
  <c r="G12" i="30"/>
  <c r="F12" i="30"/>
  <c r="E12" i="30"/>
  <c r="D12" i="30"/>
  <c r="C12" i="30"/>
  <c r="G11" i="30"/>
  <c r="F11" i="30"/>
  <c r="E11" i="30"/>
  <c r="D11" i="30"/>
  <c r="C11" i="30"/>
  <c r="G10" i="30"/>
  <c r="F10" i="30"/>
  <c r="E10" i="30"/>
  <c r="D10" i="30"/>
  <c r="C10" i="30"/>
  <c r="G9" i="30"/>
  <c r="F9" i="30"/>
  <c r="E9" i="30"/>
  <c r="D9" i="30"/>
  <c r="C9" i="30"/>
  <c r="G8" i="30"/>
  <c r="F8" i="30"/>
  <c r="E8" i="30"/>
  <c r="D8" i="30"/>
  <c r="C8" i="30"/>
  <c r="G7" i="30"/>
  <c r="F7" i="30"/>
  <c r="E7" i="30"/>
  <c r="D7" i="30"/>
  <c r="C7" i="30"/>
  <c r="G6" i="30"/>
  <c r="F6" i="30"/>
  <c r="E6" i="30"/>
  <c r="D6" i="30"/>
  <c r="G222" i="26"/>
  <c r="H222" i="26"/>
  <c r="G128" i="3" l="1"/>
  <c r="H109" i="3"/>
  <c r="H115" i="3"/>
  <c r="G115" i="3"/>
  <c r="G42" i="8"/>
  <c r="G25" i="22"/>
  <c r="G237" i="26" s="1"/>
  <c r="G109" i="3"/>
  <c r="H232" i="26"/>
  <c r="H25" i="22"/>
  <c r="H237" i="26" s="1"/>
  <c r="G232" i="26"/>
  <c r="H30" i="13"/>
  <c r="H32" i="13" s="1"/>
  <c r="G30" i="13"/>
  <c r="G32" i="13" s="1"/>
  <c r="E16" i="32"/>
  <c r="G17" i="10" s="1"/>
  <c r="D16" i="32"/>
  <c r="G17" i="19" s="1"/>
  <c r="G9" i="32"/>
  <c r="G10" i="12" s="1"/>
  <c r="E8" i="32"/>
  <c r="G9" i="10" s="1"/>
  <c r="F18" i="33"/>
  <c r="H19" i="11" s="1"/>
  <c r="C18" i="33"/>
  <c r="H19" i="17" s="1"/>
  <c r="G17" i="33"/>
  <c r="H18" i="12" s="1"/>
  <c r="D17" i="33"/>
  <c r="H18" i="19" s="1"/>
  <c r="C17" i="33"/>
  <c r="H18" i="17" s="1"/>
  <c r="D16" i="33"/>
  <c r="H17" i="19" s="1"/>
  <c r="C16" i="33"/>
  <c r="H17" i="17" s="1"/>
  <c r="E15" i="33"/>
  <c r="H16" i="10" s="1"/>
  <c r="G14" i="33"/>
  <c r="H15" i="12" s="1"/>
  <c r="F14" i="33"/>
  <c r="H15" i="11" s="1"/>
  <c r="E14" i="33"/>
  <c r="H15" i="10" s="1"/>
  <c r="C14" i="33"/>
  <c r="H15" i="17" s="1"/>
  <c r="G13" i="33"/>
  <c r="H14" i="12" s="1"/>
  <c r="D13" i="33"/>
  <c r="H14" i="19" s="1"/>
  <c r="C13" i="33"/>
  <c r="H14" i="17" s="1"/>
  <c r="E12" i="33"/>
  <c r="H13" i="10" s="1"/>
  <c r="D12" i="33"/>
  <c r="H13" i="19" s="1"/>
  <c r="E11" i="33"/>
  <c r="H12" i="10" s="1"/>
  <c r="F10" i="33"/>
  <c r="H11" i="11" s="1"/>
  <c r="G9" i="33"/>
  <c r="H10" i="12" s="1"/>
  <c r="F9" i="33"/>
  <c r="H10" i="11" s="1"/>
  <c r="C9" i="33"/>
  <c r="H10" i="17" s="1"/>
  <c r="G8" i="33"/>
  <c r="H9" i="12" s="1"/>
  <c r="E8" i="33"/>
  <c r="H9" i="10" s="1"/>
  <c r="D8" i="33"/>
  <c r="H9" i="19" s="1"/>
  <c r="F7" i="33"/>
  <c r="H8" i="11" s="1"/>
  <c r="I7" i="31"/>
  <c r="D7" i="33"/>
  <c r="H8" i="19" s="1"/>
  <c r="G6" i="33"/>
  <c r="H7" i="12" s="1"/>
  <c r="F6" i="33"/>
  <c r="H7" i="11" s="1"/>
  <c r="C6" i="33"/>
  <c r="H7" i="17" s="1"/>
  <c r="G20" i="33"/>
  <c r="D20" i="33"/>
  <c r="G20" i="32"/>
  <c r="F20" i="32"/>
  <c r="E20" i="32"/>
  <c r="D20" i="32"/>
  <c r="C20" i="32"/>
  <c r="G19" i="32"/>
  <c r="G20" i="12" s="1"/>
  <c r="F19" i="32"/>
  <c r="G20" i="11" s="1"/>
  <c r="E19" i="32"/>
  <c r="G20" i="10" s="1"/>
  <c r="D19" i="32"/>
  <c r="G20" i="19" s="1"/>
  <c r="C19" i="32"/>
  <c r="G20" i="17" s="1"/>
  <c r="G18" i="32"/>
  <c r="G19" i="12" s="1"/>
  <c r="F18" i="32"/>
  <c r="G19" i="11" s="1"/>
  <c r="E18" i="32"/>
  <c r="G19" i="10" s="1"/>
  <c r="D18" i="32"/>
  <c r="G19" i="19" s="1"/>
  <c r="G17" i="32"/>
  <c r="G18" i="12" s="1"/>
  <c r="F17" i="32"/>
  <c r="G18" i="11" s="1"/>
  <c r="E17" i="32"/>
  <c r="G18" i="10" s="1"/>
  <c r="D17" i="32"/>
  <c r="G18" i="19" s="1"/>
  <c r="C17" i="32"/>
  <c r="G18" i="17" s="1"/>
  <c r="G16" i="32"/>
  <c r="G17" i="12" s="1"/>
  <c r="F16" i="32"/>
  <c r="G17" i="11" s="1"/>
  <c r="C16" i="32"/>
  <c r="G17" i="17" s="1"/>
  <c r="G15" i="32"/>
  <c r="G16" i="12" s="1"/>
  <c r="F15" i="32"/>
  <c r="G16" i="11" s="1"/>
  <c r="E15" i="32"/>
  <c r="G16" i="10" s="1"/>
  <c r="D15" i="32"/>
  <c r="G16" i="19" s="1"/>
  <c r="I15" i="30"/>
  <c r="G14" i="32"/>
  <c r="G15" i="12" s="1"/>
  <c r="F14" i="32"/>
  <c r="G15" i="11" s="1"/>
  <c r="E14" i="32"/>
  <c r="G15" i="10" s="1"/>
  <c r="D14" i="32"/>
  <c r="G15" i="19" s="1"/>
  <c r="G13" i="32"/>
  <c r="G14" i="12" s="1"/>
  <c r="F13" i="32"/>
  <c r="G14" i="11" s="1"/>
  <c r="E13" i="32"/>
  <c r="G14" i="10" s="1"/>
  <c r="D13" i="32"/>
  <c r="G14" i="19" s="1"/>
  <c r="C13" i="32"/>
  <c r="G14" i="17" s="1"/>
  <c r="G12" i="32"/>
  <c r="G13" i="12" s="1"/>
  <c r="F12" i="32"/>
  <c r="G13" i="11" s="1"/>
  <c r="E12" i="32"/>
  <c r="G13" i="10" s="1"/>
  <c r="D12" i="32"/>
  <c r="G13" i="19" s="1"/>
  <c r="C12" i="32"/>
  <c r="G13" i="17" s="1"/>
  <c r="G11" i="32"/>
  <c r="G12" i="12" s="1"/>
  <c r="F11" i="32"/>
  <c r="G12" i="11" s="1"/>
  <c r="E11" i="32"/>
  <c r="G12" i="10" s="1"/>
  <c r="D11" i="32"/>
  <c r="G12" i="19" s="1"/>
  <c r="C11" i="32"/>
  <c r="G12" i="17" s="1"/>
  <c r="G10" i="32"/>
  <c r="G11" i="12" s="1"/>
  <c r="F10" i="32"/>
  <c r="G11" i="11" s="1"/>
  <c r="E10" i="32"/>
  <c r="G11" i="10" s="1"/>
  <c r="D10" i="32"/>
  <c r="G11" i="19" s="1"/>
  <c r="C10" i="32"/>
  <c r="G11" i="17" s="1"/>
  <c r="F9" i="32"/>
  <c r="G10" i="11" s="1"/>
  <c r="E9" i="32"/>
  <c r="G10" i="10" s="1"/>
  <c r="D9" i="32"/>
  <c r="G10" i="19" s="1"/>
  <c r="C9" i="32"/>
  <c r="G10" i="17" s="1"/>
  <c r="G8" i="32"/>
  <c r="G9" i="12" s="1"/>
  <c r="F8" i="32"/>
  <c r="G9" i="11" s="1"/>
  <c r="D8" i="32"/>
  <c r="G9" i="19" s="1"/>
  <c r="C8" i="32"/>
  <c r="G9" i="17" s="1"/>
  <c r="G7" i="32"/>
  <c r="G8" i="12" s="1"/>
  <c r="F7" i="32"/>
  <c r="G8" i="11" s="1"/>
  <c r="E7" i="32"/>
  <c r="G8" i="10" s="1"/>
  <c r="D7" i="32"/>
  <c r="G8" i="19" s="1"/>
  <c r="C7" i="32"/>
  <c r="G8" i="17" s="1"/>
  <c r="F6" i="32"/>
  <c r="G7" i="11" s="1"/>
  <c r="E6" i="32"/>
  <c r="G7" i="10" s="1"/>
  <c r="D6" i="32"/>
  <c r="G7" i="19" s="1"/>
  <c r="C6" i="32"/>
  <c r="G7" i="17" s="1"/>
  <c r="F17" i="33"/>
  <c r="H18" i="11" s="1"/>
  <c r="F16" i="33"/>
  <c r="H17" i="11" s="1"/>
  <c r="D14" i="33"/>
  <c r="H15" i="19" s="1"/>
  <c r="E13" i="33"/>
  <c r="H14" i="10" s="1"/>
  <c r="F12" i="33"/>
  <c r="H13" i="11" s="1"/>
  <c r="E10" i="33"/>
  <c r="H11" i="10" s="1"/>
  <c r="D10" i="33"/>
  <c r="H11" i="19" s="1"/>
  <c r="E9" i="33"/>
  <c r="H10" i="10" s="1"/>
  <c r="F8" i="33"/>
  <c r="H9" i="11" s="1"/>
  <c r="F20" i="33"/>
  <c r="G18" i="33"/>
  <c r="H19" i="12" s="1"/>
  <c r="G10" i="33"/>
  <c r="H11" i="12" s="1"/>
  <c r="C10" i="33"/>
  <c r="H11" i="17" s="1"/>
  <c r="G19" i="33"/>
  <c r="H20" i="12" s="1"/>
  <c r="F19" i="33"/>
  <c r="H20" i="11" s="1"/>
  <c r="E19" i="33"/>
  <c r="H20" i="10" s="1"/>
  <c r="C19" i="33"/>
  <c r="H20" i="17" s="1"/>
  <c r="G16" i="33"/>
  <c r="H17" i="12" s="1"/>
  <c r="G15" i="33"/>
  <c r="H16" i="12" s="1"/>
  <c r="F15" i="33"/>
  <c r="H16" i="11" s="1"/>
  <c r="C15" i="33"/>
  <c r="H16" i="17" s="1"/>
  <c r="G11" i="33"/>
  <c r="H12" i="12" s="1"/>
  <c r="F11" i="33"/>
  <c r="H12" i="11" s="1"/>
  <c r="D11" i="33"/>
  <c r="H12" i="19" s="1"/>
  <c r="C11" i="33"/>
  <c r="H12" i="17" s="1"/>
  <c r="G7" i="33"/>
  <c r="H8" i="12" s="1"/>
  <c r="C7" i="33"/>
  <c r="H8" i="17" s="1"/>
  <c r="H21" i="30"/>
  <c r="H208" i="25"/>
  <c r="G28" i="25"/>
  <c r="H102" i="25"/>
  <c r="G131" i="25"/>
  <c r="H41" i="25"/>
  <c r="H87" i="25"/>
  <c r="H116" i="25"/>
  <c r="H27" i="25"/>
  <c r="G56" i="25"/>
  <c r="G193" i="25"/>
  <c r="G117" i="25"/>
  <c r="G118" i="25"/>
  <c r="G146" i="25"/>
  <c r="G86" i="25"/>
  <c r="G191" i="25"/>
  <c r="H162" i="25"/>
  <c r="H58" i="25"/>
  <c r="H57" i="25"/>
  <c r="H131" i="25"/>
  <c r="G42" i="25"/>
  <c r="H101" i="25"/>
  <c r="H148" i="25"/>
  <c r="H177" i="25"/>
  <c r="H132" i="25"/>
  <c r="G58" i="25"/>
  <c r="G147" i="25"/>
  <c r="G87" i="25"/>
  <c r="G116" i="25"/>
  <c r="G192" i="25"/>
  <c r="G148" i="25"/>
  <c r="G103" i="25"/>
  <c r="H71" i="25"/>
  <c r="H133" i="25"/>
  <c r="H163" i="25"/>
  <c r="G161" i="25"/>
  <c r="G73" i="25"/>
  <c r="H42" i="25"/>
  <c r="G11" i="25"/>
  <c r="H206" i="25"/>
  <c r="G26" i="25"/>
  <c r="G178" i="25"/>
  <c r="H207" i="25"/>
  <c r="H43" i="25"/>
  <c r="G132" i="25"/>
  <c r="G162" i="25"/>
  <c r="H147" i="25"/>
  <c r="G102" i="25"/>
  <c r="G27" i="25"/>
  <c r="H56" i="25"/>
  <c r="G163" i="25"/>
  <c r="G41" i="25"/>
  <c r="H13" i="25"/>
  <c r="G88" i="25"/>
  <c r="H193" i="25"/>
  <c r="G43" i="25"/>
  <c r="H88" i="25"/>
  <c r="H178" i="25"/>
  <c r="G206" i="25"/>
  <c r="G208" i="25"/>
  <c r="G101" i="25"/>
  <c r="H146" i="25"/>
  <c r="H73" i="25"/>
  <c r="G71" i="25"/>
  <c r="H28" i="25"/>
  <c r="G12" i="25"/>
  <c r="H192" i="25"/>
  <c r="H86" i="25"/>
  <c r="G72" i="25"/>
  <c r="G177" i="25"/>
  <c r="G176" i="25"/>
  <c r="G207" i="25"/>
  <c r="H12" i="25"/>
  <c r="G57" i="25"/>
  <c r="G133" i="25"/>
  <c r="H118" i="25"/>
  <c r="H72" i="25"/>
  <c r="H67" i="23" l="1"/>
  <c r="H132" i="17"/>
  <c r="H50" i="17"/>
  <c r="H90" i="23"/>
  <c r="H135" i="19"/>
  <c r="H53" i="19"/>
  <c r="H94" i="23"/>
  <c r="H139" i="19"/>
  <c r="H57" i="19"/>
  <c r="H132" i="19"/>
  <c r="H50" i="19"/>
  <c r="H87" i="23"/>
  <c r="H74" i="23"/>
  <c r="H139" i="17"/>
  <c r="H57" i="17"/>
  <c r="H97" i="23"/>
  <c r="H142" i="19"/>
  <c r="H60" i="19"/>
  <c r="H66" i="23"/>
  <c r="H131" i="17"/>
  <c r="H49" i="17"/>
  <c r="H56" i="17"/>
  <c r="H73" i="23"/>
  <c r="H138" i="17"/>
  <c r="H141" i="17"/>
  <c r="H59" i="17"/>
  <c r="H76" i="23"/>
  <c r="H39" i="12"/>
  <c r="H35" i="12"/>
  <c r="H31" i="12"/>
  <c r="H32" i="12"/>
  <c r="H38" i="12"/>
  <c r="H34" i="12"/>
  <c r="H30" i="12"/>
  <c r="H40" i="12"/>
  <c r="H28" i="12"/>
  <c r="H41" i="12"/>
  <c r="H37" i="12"/>
  <c r="H33" i="12"/>
  <c r="H29" i="12"/>
  <c r="H36" i="12"/>
  <c r="H75" i="23"/>
  <c r="H140" i="17"/>
  <c r="H58" i="17"/>
  <c r="H79" i="23"/>
  <c r="H144" i="17"/>
  <c r="H62" i="17"/>
  <c r="H70" i="23"/>
  <c r="H135" i="17"/>
  <c r="H53" i="17"/>
  <c r="H134" i="17"/>
  <c r="H52" i="17"/>
  <c r="H69" i="23"/>
  <c r="H93" i="23"/>
  <c r="H138" i="19"/>
  <c r="H56" i="19"/>
  <c r="H141" i="19"/>
  <c r="H59" i="19"/>
  <c r="H96" i="23"/>
  <c r="H78" i="23"/>
  <c r="H143" i="17"/>
  <c r="H61" i="17"/>
  <c r="H71" i="23"/>
  <c r="H136" i="17"/>
  <c r="H54" i="17"/>
  <c r="H136" i="19"/>
  <c r="H54" i="19"/>
  <c r="H91" i="23"/>
  <c r="H88" i="23"/>
  <c r="H133" i="19"/>
  <c r="H51" i="19"/>
  <c r="H92" i="23"/>
  <c r="H137" i="19"/>
  <c r="H55" i="19"/>
  <c r="H142" i="17"/>
  <c r="H60" i="17"/>
  <c r="H77" i="23"/>
  <c r="G221" i="25"/>
  <c r="G222" i="25"/>
  <c r="G93" i="23"/>
  <c r="G97" i="19" s="1"/>
  <c r="G88" i="23"/>
  <c r="G92" i="19" s="1"/>
  <c r="G89" i="23"/>
  <c r="G93" i="19" s="1"/>
  <c r="G90" i="23"/>
  <c r="G94" i="19" s="1"/>
  <c r="G95" i="23"/>
  <c r="G99" i="19" s="1"/>
  <c r="G97" i="23"/>
  <c r="G101" i="19" s="1"/>
  <c r="G98" i="23"/>
  <c r="G102" i="19" s="1"/>
  <c r="G86" i="23"/>
  <c r="G21" i="11"/>
  <c r="G12" i="22" s="1"/>
  <c r="G91" i="23"/>
  <c r="G95" i="19" s="1"/>
  <c r="G99" i="23"/>
  <c r="G103" i="19" s="1"/>
  <c r="G96" i="23"/>
  <c r="G100" i="19" s="1"/>
  <c r="G87" i="23"/>
  <c r="G91" i="19" s="1"/>
  <c r="G94" i="23"/>
  <c r="G98" i="19" s="1"/>
  <c r="G131" i="17"/>
  <c r="G92" i="23"/>
  <c r="G96" i="19" s="1"/>
  <c r="G21" i="10"/>
  <c r="G11" i="22" s="1"/>
  <c r="H11" i="3"/>
  <c r="G137" i="17"/>
  <c r="G72" i="23"/>
  <c r="G96" i="17" s="1"/>
  <c r="G132" i="17"/>
  <c r="G67" i="23"/>
  <c r="G91" i="17" s="1"/>
  <c r="G138" i="17"/>
  <c r="G73" i="23"/>
  <c r="G97" i="17" s="1"/>
  <c r="H18" i="3"/>
  <c r="G133" i="17"/>
  <c r="G68" i="23"/>
  <c r="G92" i="17" s="1"/>
  <c r="G134" i="17"/>
  <c r="G69" i="23"/>
  <c r="G93" i="17" s="1"/>
  <c r="G135" i="17"/>
  <c r="G70" i="23"/>
  <c r="G94" i="17" s="1"/>
  <c r="G142" i="17"/>
  <c r="G77" i="23"/>
  <c r="G101" i="17" s="1"/>
  <c r="H15" i="3"/>
  <c r="H12" i="3"/>
  <c r="H8" i="3"/>
  <c r="G136" i="17"/>
  <c r="G71" i="23"/>
  <c r="G95" i="17" s="1"/>
  <c r="G141" i="17"/>
  <c r="G76" i="23"/>
  <c r="G100" i="17" s="1"/>
  <c r="G144" i="17"/>
  <c r="G79" i="23"/>
  <c r="G103" i="17" s="1"/>
  <c r="H14" i="3"/>
  <c r="H17" i="3"/>
  <c r="G136" i="19"/>
  <c r="G54" i="19"/>
  <c r="G144" i="19"/>
  <c r="G62" i="19"/>
  <c r="G141" i="19"/>
  <c r="G59" i="19"/>
  <c r="G66" i="23"/>
  <c r="G7" i="3"/>
  <c r="G49" i="17"/>
  <c r="G131" i="19"/>
  <c r="G49" i="19"/>
  <c r="G21" i="19"/>
  <c r="G50" i="19"/>
  <c r="G132" i="19"/>
  <c r="G9" i="3"/>
  <c r="G51" i="17"/>
  <c r="G10" i="3"/>
  <c r="G52" i="17"/>
  <c r="G11" i="3"/>
  <c r="G53" i="17"/>
  <c r="G138" i="19"/>
  <c r="G56" i="19"/>
  <c r="G139" i="19"/>
  <c r="G57" i="19"/>
  <c r="G18" i="3"/>
  <c r="G60" i="17"/>
  <c r="G32" i="12"/>
  <c r="G41" i="12"/>
  <c r="G37" i="12"/>
  <c r="G33" i="12"/>
  <c r="G28" i="12"/>
  <c r="G40" i="12"/>
  <c r="G36" i="12"/>
  <c r="G31" i="12"/>
  <c r="G38" i="12"/>
  <c r="G29" i="12"/>
  <c r="G35" i="12"/>
  <c r="G34" i="12"/>
  <c r="G39" i="12"/>
  <c r="G30" i="12"/>
  <c r="G13" i="3"/>
  <c r="G55" i="17"/>
  <c r="G50" i="17"/>
  <c r="G8" i="3"/>
  <c r="G137" i="19"/>
  <c r="G55" i="19"/>
  <c r="G14" i="3"/>
  <c r="G56" i="17"/>
  <c r="G133" i="19"/>
  <c r="G51" i="19"/>
  <c r="G134" i="19"/>
  <c r="G52" i="19"/>
  <c r="G135" i="19"/>
  <c r="G53" i="19"/>
  <c r="G54" i="17"/>
  <c r="G12" i="3"/>
  <c r="G140" i="19"/>
  <c r="G58" i="19"/>
  <c r="G17" i="3"/>
  <c r="G59" i="17"/>
  <c r="G142" i="19"/>
  <c r="G60" i="19"/>
  <c r="G61" i="19"/>
  <c r="G143" i="19"/>
  <c r="G62" i="17"/>
  <c r="G20" i="3"/>
  <c r="E21" i="30"/>
  <c r="E23" i="30" s="1"/>
  <c r="I10" i="30"/>
  <c r="C15" i="32"/>
  <c r="E7" i="33"/>
  <c r="H8" i="10" s="1"/>
  <c r="I15" i="31"/>
  <c r="G21" i="30"/>
  <c r="G23" i="30" s="1"/>
  <c r="F21" i="30"/>
  <c r="F23" i="30" s="1"/>
  <c r="I9" i="30"/>
  <c r="I11" i="30"/>
  <c r="I12" i="30"/>
  <c r="I13" i="30"/>
  <c r="I14" i="30"/>
  <c r="I16" i="30"/>
  <c r="I17" i="30"/>
  <c r="I18" i="30"/>
  <c r="I19" i="30"/>
  <c r="I20" i="30"/>
  <c r="H18" i="32" s="1"/>
  <c r="I19" i="31"/>
  <c r="G6" i="32"/>
  <c r="C14" i="32"/>
  <c r="G15" i="17" s="1"/>
  <c r="C18" i="32"/>
  <c r="C8" i="33"/>
  <c r="H9" i="17" s="1"/>
  <c r="G12" i="33"/>
  <c r="H13" i="12" s="1"/>
  <c r="D19" i="33"/>
  <c r="C20" i="33"/>
  <c r="F13" i="33"/>
  <c r="D15" i="33"/>
  <c r="I7" i="30"/>
  <c r="C21" i="30"/>
  <c r="C23" i="30" s="1"/>
  <c r="I8" i="32"/>
  <c r="D21" i="32"/>
  <c r="G22" i="19" s="1"/>
  <c r="D6" i="33"/>
  <c r="H7" i="19" s="1"/>
  <c r="C12" i="33"/>
  <c r="D18" i="33"/>
  <c r="H19" i="19" s="1"/>
  <c r="E6" i="33"/>
  <c r="H7" i="10" s="1"/>
  <c r="E17" i="33"/>
  <c r="H18" i="10" s="1"/>
  <c r="E18" i="33"/>
  <c r="H19" i="10" s="1"/>
  <c r="I10" i="31"/>
  <c r="I11" i="31"/>
  <c r="I10" i="33"/>
  <c r="I14" i="33"/>
  <c r="E16" i="33"/>
  <c r="E20" i="33"/>
  <c r="I14" i="31"/>
  <c r="D9" i="33"/>
  <c r="I11" i="33"/>
  <c r="I8" i="30"/>
  <c r="D21" i="30"/>
  <c r="D23" i="30" s="1"/>
  <c r="I9" i="32"/>
  <c r="I13" i="32"/>
  <c r="I17" i="32"/>
  <c r="I12" i="32"/>
  <c r="I20" i="32"/>
  <c r="I6" i="31"/>
  <c r="I18" i="31"/>
  <c r="I9" i="31"/>
  <c r="I13" i="31"/>
  <c r="I17" i="31"/>
  <c r="I20" i="31"/>
  <c r="F21" i="31"/>
  <c r="F23" i="31" s="1"/>
  <c r="E21" i="31"/>
  <c r="E23" i="31" s="1"/>
  <c r="I8" i="31"/>
  <c r="I12" i="31"/>
  <c r="I16" i="31"/>
  <c r="C21" i="31"/>
  <c r="C23" i="31" s="1"/>
  <c r="G21" i="31"/>
  <c r="G23" i="31" s="1"/>
  <c r="I7" i="32"/>
  <c r="I11" i="32"/>
  <c r="D21" i="31"/>
  <c r="D23" i="31" s="1"/>
  <c r="H21" i="31"/>
  <c r="I6" i="30"/>
  <c r="H133" i="26"/>
  <c r="G88" i="26"/>
  <c r="H43" i="26"/>
  <c r="G55" i="25"/>
  <c r="G114" i="25"/>
  <c r="H28" i="26"/>
  <c r="H24" i="25"/>
  <c r="G175" i="25"/>
  <c r="G10" i="25"/>
  <c r="G133" i="26"/>
  <c r="H40" i="25"/>
  <c r="H103" i="26"/>
  <c r="H189" i="25"/>
  <c r="H208" i="26"/>
  <c r="G205" i="25"/>
  <c r="G73" i="26"/>
  <c r="H148" i="26"/>
  <c r="G160" i="25"/>
  <c r="G99" i="25"/>
  <c r="H11" i="25"/>
  <c r="H69" i="25"/>
  <c r="H115" i="25"/>
  <c r="H54" i="25"/>
  <c r="G84" i="25"/>
  <c r="G103" i="26"/>
  <c r="G190" i="25"/>
  <c r="H26" i="25"/>
  <c r="H88" i="26"/>
  <c r="G58" i="26"/>
  <c r="G9" i="25"/>
  <c r="G130" i="25"/>
  <c r="H25" i="25"/>
  <c r="H163" i="26"/>
  <c r="G118" i="26"/>
  <c r="G70" i="25"/>
  <c r="G148" i="26"/>
  <c r="G54" i="25"/>
  <c r="H178" i="26"/>
  <c r="G13" i="26"/>
  <c r="H159" i="25"/>
  <c r="G193" i="26"/>
  <c r="G204" i="25"/>
  <c r="G40" i="25"/>
  <c r="G174" i="25"/>
  <c r="G178" i="26"/>
  <c r="G163" i="26"/>
  <c r="H58" i="26"/>
  <c r="H118" i="26"/>
  <c r="H103" i="25"/>
  <c r="G208" i="26"/>
  <c r="H130" i="25"/>
  <c r="G24" i="25"/>
  <c r="H84" i="25"/>
  <c r="H193" i="26"/>
  <c r="G69" i="25"/>
  <c r="H85" i="25"/>
  <c r="H129" i="25"/>
  <c r="H204" i="25"/>
  <c r="H174" i="25"/>
  <c r="H175" i="25"/>
  <c r="G25" i="25"/>
  <c r="H70" i="25"/>
  <c r="H160" i="25"/>
  <c r="G28" i="26"/>
  <c r="H9" i="25"/>
  <c r="H114" i="25"/>
  <c r="G115" i="25"/>
  <c r="G39" i="25"/>
  <c r="H13" i="26"/>
  <c r="G85" i="25"/>
  <c r="H176" i="25"/>
  <c r="G145" i="25"/>
  <c r="G43" i="26"/>
  <c r="H191" i="25"/>
  <c r="G100" i="25"/>
  <c r="H100" i="25"/>
  <c r="H144" i="25"/>
  <c r="G159" i="25"/>
  <c r="H73" i="26"/>
  <c r="G97" i="8" l="1"/>
  <c r="H143" i="19"/>
  <c r="H61" i="19"/>
  <c r="H98" i="23"/>
  <c r="H133" i="17"/>
  <c r="H51" i="17"/>
  <c r="H68" i="23"/>
  <c r="H131" i="19"/>
  <c r="H49" i="19"/>
  <c r="H49" i="8" s="1"/>
  <c r="H86" i="23"/>
  <c r="W20" i="17"/>
  <c r="G103" i="8"/>
  <c r="X7" i="17"/>
  <c r="I7" i="33"/>
  <c r="X19" i="17"/>
  <c r="X17" i="17"/>
  <c r="X10" i="17"/>
  <c r="W12" i="17"/>
  <c r="W8" i="17"/>
  <c r="G94" i="8"/>
  <c r="G96" i="8"/>
  <c r="W9" i="17"/>
  <c r="W10" i="17"/>
  <c r="H54" i="8"/>
  <c r="X12" i="17"/>
  <c r="X15" i="17"/>
  <c r="G92" i="8"/>
  <c r="W13" i="17"/>
  <c r="W18" i="17"/>
  <c r="W7" i="17"/>
  <c r="H56" i="8"/>
  <c r="X14" i="17"/>
  <c r="G95" i="8"/>
  <c r="X18" i="17"/>
  <c r="X11" i="17"/>
  <c r="X16" i="17"/>
  <c r="W17" i="17"/>
  <c r="W14" i="17"/>
  <c r="W11" i="17"/>
  <c r="X8" i="17"/>
  <c r="X20" i="17"/>
  <c r="G101" i="8"/>
  <c r="G49" i="8"/>
  <c r="G21" i="33"/>
  <c r="G23" i="33" s="1"/>
  <c r="H57" i="8"/>
  <c r="I20" i="33"/>
  <c r="H50" i="8"/>
  <c r="G100" i="23"/>
  <c r="H29" i="26"/>
  <c r="G104" i="26"/>
  <c r="H119" i="26"/>
  <c r="G134" i="26"/>
  <c r="H223" i="26"/>
  <c r="H14" i="26"/>
  <c r="G89" i="26"/>
  <c r="G220" i="25"/>
  <c r="H89" i="26"/>
  <c r="G149" i="26"/>
  <c r="H59" i="26"/>
  <c r="H44" i="26"/>
  <c r="H134" i="26"/>
  <c r="H149" i="26"/>
  <c r="G44" i="26"/>
  <c r="G29" i="26"/>
  <c r="G194" i="26"/>
  <c r="G209" i="26"/>
  <c r="H104" i="26"/>
  <c r="G59" i="26"/>
  <c r="H74" i="26"/>
  <c r="G119" i="26"/>
  <c r="H223" i="25"/>
  <c r="H179" i="26"/>
  <c r="H164" i="26"/>
  <c r="H194" i="26"/>
  <c r="H209" i="26"/>
  <c r="G179" i="26"/>
  <c r="G164" i="26"/>
  <c r="G223" i="26"/>
  <c r="G14" i="26"/>
  <c r="G74" i="26"/>
  <c r="G60" i="8"/>
  <c r="H138" i="8"/>
  <c r="H136" i="8"/>
  <c r="G55" i="8"/>
  <c r="H141" i="8"/>
  <c r="G141" i="8"/>
  <c r="G133" i="8"/>
  <c r="H142" i="8"/>
  <c r="G59" i="8"/>
  <c r="G56" i="8"/>
  <c r="G53" i="8"/>
  <c r="G51" i="8"/>
  <c r="G144" i="8"/>
  <c r="G136" i="8"/>
  <c r="H139" i="8"/>
  <c r="G93" i="8"/>
  <c r="G90" i="19"/>
  <c r="G104" i="19" s="1"/>
  <c r="G138" i="8"/>
  <c r="X12" i="19"/>
  <c r="G137" i="8"/>
  <c r="G237" i="25"/>
  <c r="I8" i="33"/>
  <c r="G52" i="8"/>
  <c r="G132" i="8"/>
  <c r="H135" i="8"/>
  <c r="G62" i="8"/>
  <c r="G135" i="8"/>
  <c r="H21" i="12"/>
  <c r="H13" i="22" s="1"/>
  <c r="G54" i="8"/>
  <c r="G50" i="8"/>
  <c r="H59" i="8"/>
  <c r="G100" i="8"/>
  <c r="H132" i="8"/>
  <c r="G142" i="8"/>
  <c r="G134" i="8"/>
  <c r="H60" i="8"/>
  <c r="G91" i="8"/>
  <c r="H53" i="8"/>
  <c r="G131" i="8"/>
  <c r="G236" i="25"/>
  <c r="W19" i="19"/>
  <c r="X11" i="19"/>
  <c r="H91" i="17"/>
  <c r="H95" i="17"/>
  <c r="H101" i="17"/>
  <c r="H100" i="19"/>
  <c r="I16" i="33"/>
  <c r="H17" i="10"/>
  <c r="H21" i="10" s="1"/>
  <c r="H11" i="22" s="1"/>
  <c r="I19" i="33"/>
  <c r="H20" i="19"/>
  <c r="G139" i="17"/>
  <c r="G74" i="23"/>
  <c r="G98" i="17" s="1"/>
  <c r="G98" i="8" s="1"/>
  <c r="W20" i="19"/>
  <c r="X18" i="19"/>
  <c r="H98" i="17"/>
  <c r="H91" i="19"/>
  <c r="H96" i="19"/>
  <c r="H95" i="19"/>
  <c r="H102" i="17"/>
  <c r="H93" i="17"/>
  <c r="H99" i="17"/>
  <c r="H103" i="17"/>
  <c r="H61" i="8"/>
  <c r="G42" i="12"/>
  <c r="H97" i="17"/>
  <c r="H90" i="17"/>
  <c r="H7" i="3"/>
  <c r="X15" i="19"/>
  <c r="H101" i="19"/>
  <c r="X14" i="19"/>
  <c r="H92" i="19"/>
  <c r="H100" i="17"/>
  <c r="H98" i="19"/>
  <c r="H97" i="19"/>
  <c r="I9" i="33"/>
  <c r="H10" i="19"/>
  <c r="I15" i="33"/>
  <c r="H16" i="19"/>
  <c r="I17" i="33"/>
  <c r="C21" i="33"/>
  <c r="H22" i="17" s="1"/>
  <c r="H13" i="17"/>
  <c r="H21" i="17" s="1"/>
  <c r="F21" i="33"/>
  <c r="F23" i="33" s="1"/>
  <c r="H14" i="11"/>
  <c r="H9" i="3"/>
  <c r="H42" i="12"/>
  <c r="W18" i="19"/>
  <c r="W16" i="19"/>
  <c r="W11" i="19"/>
  <c r="W9" i="19"/>
  <c r="W13" i="19"/>
  <c r="W14" i="19"/>
  <c r="W17" i="19"/>
  <c r="W12" i="19"/>
  <c r="H94" i="19"/>
  <c r="X8" i="19"/>
  <c r="X13" i="19"/>
  <c r="X9" i="19"/>
  <c r="H19" i="3"/>
  <c r="X17" i="19"/>
  <c r="H94" i="17"/>
  <c r="G90" i="17"/>
  <c r="G145" i="19"/>
  <c r="G10" i="22" s="1"/>
  <c r="G15" i="3"/>
  <c r="G57" i="17"/>
  <c r="W8" i="19"/>
  <c r="W7" i="19"/>
  <c r="G63" i="19"/>
  <c r="I18" i="32"/>
  <c r="K18" i="32" s="1"/>
  <c r="G19" i="17"/>
  <c r="I6" i="32"/>
  <c r="G7" i="12"/>
  <c r="I15" i="32"/>
  <c r="G16" i="17"/>
  <c r="W10" i="19"/>
  <c r="W15" i="19"/>
  <c r="I6" i="33"/>
  <c r="H9" i="32"/>
  <c r="K9" i="32" s="1"/>
  <c r="H14" i="32"/>
  <c r="I13" i="33"/>
  <c r="H17" i="32"/>
  <c r="K17" i="32" s="1"/>
  <c r="H11" i="32"/>
  <c r="K11" i="32" s="1"/>
  <c r="H16" i="32"/>
  <c r="H8" i="32"/>
  <c r="K8" i="32" s="1"/>
  <c r="H12" i="32"/>
  <c r="K12" i="32" s="1"/>
  <c r="H6" i="32"/>
  <c r="H19" i="32"/>
  <c r="H15" i="32"/>
  <c r="I18" i="33"/>
  <c r="H13" i="32"/>
  <c r="K13" i="32" s="1"/>
  <c r="H7" i="32"/>
  <c r="K7" i="32" s="1"/>
  <c r="H10" i="32"/>
  <c r="D24" i="32"/>
  <c r="D23" i="32"/>
  <c r="F21" i="32"/>
  <c r="E21" i="33"/>
  <c r="I14" i="32"/>
  <c r="I12" i="33"/>
  <c r="D21" i="33"/>
  <c r="I19" i="32"/>
  <c r="E21" i="32"/>
  <c r="I16" i="32"/>
  <c r="H18" i="33"/>
  <c r="H10" i="33"/>
  <c r="K10" i="33" s="1"/>
  <c r="H8" i="33"/>
  <c r="H19" i="33"/>
  <c r="H17" i="33"/>
  <c r="H15" i="33"/>
  <c r="H13" i="33"/>
  <c r="H11" i="33"/>
  <c r="K11" i="33" s="1"/>
  <c r="H9" i="33"/>
  <c r="H7" i="33"/>
  <c r="H12" i="33"/>
  <c r="H16" i="33"/>
  <c r="H14" i="33"/>
  <c r="K14" i="33" s="1"/>
  <c r="H6" i="33"/>
  <c r="G21" i="32"/>
  <c r="G22" i="12" s="1"/>
  <c r="I10" i="32"/>
  <c r="C21" i="32"/>
  <c r="G22" i="17" s="1"/>
  <c r="H127" i="25"/>
  <c r="G113" i="25"/>
  <c r="H39" i="25"/>
  <c r="H10" i="25"/>
  <c r="H202" i="25"/>
  <c r="G173" i="25"/>
  <c r="H38" i="25"/>
  <c r="H117" i="25"/>
  <c r="H190" i="25"/>
  <c r="G203" i="25"/>
  <c r="H82" i="25"/>
  <c r="G37" i="25"/>
  <c r="H52" i="25"/>
  <c r="H157" i="25"/>
  <c r="G157" i="25"/>
  <c r="G22" i="25"/>
  <c r="H172" i="25"/>
  <c r="H161" i="25"/>
  <c r="H67" i="25"/>
  <c r="G98" i="25"/>
  <c r="G68" i="25"/>
  <c r="G97" i="25"/>
  <c r="G172" i="25"/>
  <c r="G83" i="25"/>
  <c r="H22" i="25"/>
  <c r="H128" i="25"/>
  <c r="G82" i="25"/>
  <c r="G202" i="25"/>
  <c r="H112" i="25"/>
  <c r="G7" i="25"/>
  <c r="G13" i="25"/>
  <c r="G52" i="25"/>
  <c r="H187" i="25"/>
  <c r="G67" i="25"/>
  <c r="G188" i="25"/>
  <c r="G128" i="25"/>
  <c r="G8" i="25"/>
  <c r="G23" i="25"/>
  <c r="H142" i="25"/>
  <c r="G129" i="25"/>
  <c r="H113" i="25"/>
  <c r="H7" i="25"/>
  <c r="H23" i="25"/>
  <c r="G143" i="25"/>
  <c r="G53" i="25"/>
  <c r="G112" i="25"/>
  <c r="G38" i="25"/>
  <c r="H158" i="25"/>
  <c r="H173" i="25"/>
  <c r="H83" i="25"/>
  <c r="G158" i="25"/>
  <c r="H98" i="25"/>
  <c r="H68" i="25"/>
  <c r="H100" i="8" l="1"/>
  <c r="K7" i="33"/>
  <c r="H89" i="23"/>
  <c r="H134" i="19"/>
  <c r="H52" i="19"/>
  <c r="H52" i="8" s="1"/>
  <c r="H140" i="19"/>
  <c r="H58" i="19"/>
  <c r="H95" i="23"/>
  <c r="H144" i="19"/>
  <c r="H62" i="19"/>
  <c r="H62" i="8" s="1"/>
  <c r="H99" i="23"/>
  <c r="H137" i="17"/>
  <c r="H55" i="17"/>
  <c r="H72" i="23"/>
  <c r="H80" i="23" s="1"/>
  <c r="G11" i="8"/>
  <c r="G11" i="16" s="1"/>
  <c r="K15" i="32"/>
  <c r="G90" i="8"/>
  <c r="G7" i="8" s="1"/>
  <c r="G20" i="8"/>
  <c r="G40" i="3" s="1"/>
  <c r="H22" i="12"/>
  <c r="K15" i="33"/>
  <c r="G24" i="33"/>
  <c r="C23" i="33"/>
  <c r="K17" i="33"/>
  <c r="W15" i="17"/>
  <c r="G12" i="8"/>
  <c r="G32" i="3" s="1"/>
  <c r="K16" i="33"/>
  <c r="K8" i="33"/>
  <c r="X9" i="17"/>
  <c r="H95" i="8"/>
  <c r="H12" i="8" s="1"/>
  <c r="H12" i="16" s="1"/>
  <c r="G10" i="8"/>
  <c r="G10" i="16" s="1"/>
  <c r="G179" i="25"/>
  <c r="G74" i="25"/>
  <c r="G29" i="25"/>
  <c r="G164" i="25"/>
  <c r="G89" i="25"/>
  <c r="H134" i="25"/>
  <c r="G119" i="25"/>
  <c r="G104" i="25"/>
  <c r="G59" i="25"/>
  <c r="G209" i="25"/>
  <c r="G44" i="25"/>
  <c r="H89" i="25"/>
  <c r="G218" i="25"/>
  <c r="H74" i="25"/>
  <c r="H29" i="25"/>
  <c r="H179" i="25"/>
  <c r="K14" i="32"/>
  <c r="K9" i="33"/>
  <c r="H17" i="8"/>
  <c r="H17" i="16" s="1"/>
  <c r="K19" i="33"/>
  <c r="H94" i="8"/>
  <c r="H11" i="8" s="1"/>
  <c r="G9" i="8"/>
  <c r="G29" i="3" s="1"/>
  <c r="G17" i="8"/>
  <c r="G17" i="16" s="1"/>
  <c r="G13" i="8"/>
  <c r="G13" i="16" s="1"/>
  <c r="G8" i="22"/>
  <c r="H222" i="25"/>
  <c r="H119" i="25"/>
  <c r="H221" i="25"/>
  <c r="H236" i="25" s="1"/>
  <c r="H164" i="25"/>
  <c r="G223" i="25"/>
  <c r="G14" i="25"/>
  <c r="H51" i="8"/>
  <c r="H97" i="8"/>
  <c r="H14" i="8" s="1"/>
  <c r="G57" i="8"/>
  <c r="H21" i="11"/>
  <c r="H12" i="22" s="1"/>
  <c r="G139" i="8"/>
  <c r="G8" i="8"/>
  <c r="G31" i="3"/>
  <c r="G14" i="8"/>
  <c r="G18" i="8"/>
  <c r="H238" i="25"/>
  <c r="G235" i="25"/>
  <c r="H26" i="22"/>
  <c r="H27" i="22" s="1"/>
  <c r="H27" i="16"/>
  <c r="G26" i="22"/>
  <c r="G27" i="22" s="1"/>
  <c r="G27" i="16"/>
  <c r="H224" i="26"/>
  <c r="C24" i="33"/>
  <c r="G21" i="12"/>
  <c r="G13" i="22" s="1"/>
  <c r="H133" i="8"/>
  <c r="H91" i="8"/>
  <c r="G224" i="26"/>
  <c r="H98" i="8"/>
  <c r="H15" i="8" s="1"/>
  <c r="H101" i="8"/>
  <c r="H18" i="8" s="1"/>
  <c r="H131" i="8"/>
  <c r="H143" i="8"/>
  <c r="E23" i="33"/>
  <c r="H22" i="10"/>
  <c r="X7" i="19"/>
  <c r="H92" i="17"/>
  <c r="H92" i="8" s="1"/>
  <c r="H20" i="3"/>
  <c r="D23" i="33"/>
  <c r="H22" i="19"/>
  <c r="G140" i="17"/>
  <c r="G75" i="23"/>
  <c r="G143" i="17"/>
  <c r="G78" i="23"/>
  <c r="G102" i="17" s="1"/>
  <c r="G102" i="8" s="1"/>
  <c r="F24" i="33"/>
  <c r="H22" i="11"/>
  <c r="X19" i="19"/>
  <c r="H90" i="19"/>
  <c r="H90" i="8" s="1"/>
  <c r="H13" i="3"/>
  <c r="H58" i="8"/>
  <c r="H16" i="3"/>
  <c r="H10" i="3"/>
  <c r="H102" i="19"/>
  <c r="H102" i="8" s="1"/>
  <c r="H21" i="19"/>
  <c r="G58" i="17"/>
  <c r="G16" i="3"/>
  <c r="G19" i="3"/>
  <c r="G61" i="17"/>
  <c r="G21" i="17"/>
  <c r="F23" i="32"/>
  <c r="G22" i="11"/>
  <c r="E24" i="32"/>
  <c r="G22" i="10"/>
  <c r="K6" i="32"/>
  <c r="W21" i="19"/>
  <c r="D24" i="33"/>
  <c r="K12" i="33"/>
  <c r="K13" i="33"/>
  <c r="K18" i="33"/>
  <c r="E23" i="32"/>
  <c r="F24" i="32"/>
  <c r="E24" i="33"/>
  <c r="K19" i="32"/>
  <c r="K16" i="32"/>
  <c r="K10" i="32"/>
  <c r="G23" i="32"/>
  <c r="G24" i="32"/>
  <c r="H21" i="33"/>
  <c r="K6" i="33"/>
  <c r="C24" i="32"/>
  <c r="C23" i="32"/>
  <c r="H21" i="32"/>
  <c r="G144" i="25"/>
  <c r="H188" i="25"/>
  <c r="H145" i="25"/>
  <c r="H99" i="25"/>
  <c r="H205" i="25"/>
  <c r="H37" i="25"/>
  <c r="H8" i="25"/>
  <c r="G127" i="25"/>
  <c r="H55" i="25"/>
  <c r="G189" i="25"/>
  <c r="G30" i="3" l="1"/>
  <c r="G20" i="16"/>
  <c r="H100" i="23"/>
  <c r="G37" i="3"/>
  <c r="H32" i="3"/>
  <c r="G9" i="16"/>
  <c r="H37" i="3"/>
  <c r="H19" i="8"/>
  <c r="H39" i="3" s="1"/>
  <c r="W16" i="17"/>
  <c r="G12" i="16"/>
  <c r="H238" i="26"/>
  <c r="H239" i="26" s="1"/>
  <c r="G33" i="3"/>
  <c r="G15" i="8"/>
  <c r="G35" i="3" s="1"/>
  <c r="W19" i="17"/>
  <c r="X13" i="17"/>
  <c r="H7" i="8"/>
  <c r="H7" i="16" s="1"/>
  <c r="G233" i="25"/>
  <c r="G238" i="25"/>
  <c r="G134" i="25"/>
  <c r="H14" i="25"/>
  <c r="H194" i="25"/>
  <c r="H44" i="25"/>
  <c r="H21" i="3"/>
  <c r="H220" i="25"/>
  <c r="H219" i="25"/>
  <c r="G219" i="25"/>
  <c r="H38" i="3"/>
  <c r="H18" i="16"/>
  <c r="G145" i="17"/>
  <c r="G9" i="22" s="1"/>
  <c r="G143" i="8"/>
  <c r="G21" i="3"/>
  <c r="H145" i="19"/>
  <c r="H10" i="22" s="1"/>
  <c r="H134" i="8"/>
  <c r="H145" i="17"/>
  <c r="H137" i="8"/>
  <c r="H31" i="3"/>
  <c r="H11" i="16"/>
  <c r="G38" i="3"/>
  <c r="G18" i="16"/>
  <c r="H9" i="8"/>
  <c r="H237" i="25"/>
  <c r="H140" i="8"/>
  <c r="H34" i="3"/>
  <c r="H14" i="16"/>
  <c r="G58" i="8"/>
  <c r="G140" i="8"/>
  <c r="G27" i="3"/>
  <c r="G7" i="16"/>
  <c r="G28" i="3"/>
  <c r="G8" i="16"/>
  <c r="H8" i="8"/>
  <c r="G61" i="8"/>
  <c r="H63" i="17"/>
  <c r="H55" i="8"/>
  <c r="H144" i="8"/>
  <c r="H35" i="3"/>
  <c r="H15" i="16"/>
  <c r="G238" i="26"/>
  <c r="G239" i="26" s="1"/>
  <c r="G34" i="3"/>
  <c r="G14" i="16"/>
  <c r="X20" i="19"/>
  <c r="H99" i="19"/>
  <c r="H99" i="8" s="1"/>
  <c r="X10" i="19"/>
  <c r="X16" i="19"/>
  <c r="H93" i="19"/>
  <c r="H93" i="8" s="1"/>
  <c r="H96" i="17"/>
  <c r="G99" i="17"/>
  <c r="G80" i="23"/>
  <c r="H103" i="19"/>
  <c r="H63" i="19"/>
  <c r="G63" i="17"/>
  <c r="H203" i="25"/>
  <c r="H97" i="25"/>
  <c r="H53" i="25"/>
  <c r="G187" i="25"/>
  <c r="G142" i="25"/>
  <c r="H143" i="25"/>
  <c r="G7" i="22" l="1"/>
  <c r="G14" i="22" s="1"/>
  <c r="H16" i="8"/>
  <c r="H36" i="3" s="1"/>
  <c r="H19" i="16"/>
  <c r="G15" i="16"/>
  <c r="H27" i="3"/>
  <c r="G19" i="8"/>
  <c r="G19" i="16" s="1"/>
  <c r="H149" i="25"/>
  <c r="H209" i="25"/>
  <c r="H218" i="25"/>
  <c r="H59" i="25"/>
  <c r="G194" i="25"/>
  <c r="G217" i="25"/>
  <c r="G224" i="25" s="1"/>
  <c r="G149" i="25"/>
  <c r="H104" i="25"/>
  <c r="H217" i="25"/>
  <c r="H8" i="22"/>
  <c r="H145" i="8"/>
  <c r="H235" i="25"/>
  <c r="W21" i="17"/>
  <c r="H10" i="8"/>
  <c r="H9" i="22"/>
  <c r="H234" i="25" s="1"/>
  <c r="H7" i="22"/>
  <c r="G104" i="17"/>
  <c r="G99" i="8"/>
  <c r="G104" i="8" s="1"/>
  <c r="G234" i="25"/>
  <c r="H104" i="19"/>
  <c r="H103" i="8"/>
  <c r="H20" i="8" s="1"/>
  <c r="G145" i="8"/>
  <c r="H29" i="3"/>
  <c r="H9" i="16"/>
  <c r="G63" i="8"/>
  <c r="G39" i="3"/>
  <c r="H104" i="17"/>
  <c r="H96" i="8"/>
  <c r="X21" i="19"/>
  <c r="H63" i="8"/>
  <c r="H28" i="3"/>
  <c r="H8" i="16"/>
  <c r="X21" i="17"/>
  <c r="H16" i="16" l="1"/>
  <c r="H233" i="25"/>
  <c r="G232" i="25"/>
  <c r="G239" i="25" s="1"/>
  <c r="H224" i="25"/>
  <c r="H104" i="8"/>
  <c r="H21" i="8" s="1"/>
  <c r="H14" i="22"/>
  <c r="H13" i="8"/>
  <c r="H232" i="25"/>
  <c r="H30" i="3"/>
  <c r="H10" i="16"/>
  <c r="G21" i="8"/>
  <c r="H40" i="3"/>
  <c r="H20" i="16"/>
  <c r="G16" i="8"/>
  <c r="H239" i="25" l="1"/>
  <c r="G36" i="3"/>
  <c r="G41" i="3" s="1"/>
  <c r="G16" i="16"/>
  <c r="G21" i="16" s="1"/>
  <c r="H33" i="3"/>
  <c r="H41" i="3" s="1"/>
  <c r="H13" i="16"/>
  <c r="H21" i="16" s="1"/>
  <c r="E22" i="20" l="1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22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1" i="1" l="1"/>
  <c r="E23" i="1" s="1"/>
  <c r="E21" i="14"/>
  <c r="E23" i="14" s="1"/>
  <c r="E21" i="20"/>
  <c r="E23" i="20" s="1"/>
  <c r="C11" i="14"/>
  <c r="F31" i="13" l="1"/>
  <c r="F29" i="13"/>
  <c r="F64" i="7"/>
  <c r="F62" i="7"/>
  <c r="F61" i="7"/>
  <c r="F191" i="3"/>
  <c r="F190" i="3"/>
  <c r="F181" i="3"/>
  <c r="F180" i="3"/>
  <c r="F171" i="3"/>
  <c r="F170" i="3"/>
  <c r="F161" i="3"/>
  <c r="F160" i="3"/>
  <c r="F151" i="3"/>
  <c r="F150" i="3"/>
  <c r="F140" i="3"/>
  <c r="F142" i="3" s="1"/>
  <c r="F144" i="3" s="1"/>
  <c r="F134" i="3"/>
  <c r="F132" i="3"/>
  <c r="F88" i="3"/>
  <c r="F86" i="3"/>
  <c r="G22" i="20"/>
  <c r="F22" i="20"/>
  <c r="D22" i="20"/>
  <c r="C22" i="20"/>
  <c r="G20" i="20"/>
  <c r="F20" i="20"/>
  <c r="D20" i="20"/>
  <c r="C20" i="20"/>
  <c r="G19" i="20"/>
  <c r="F19" i="20"/>
  <c r="D19" i="20"/>
  <c r="C19" i="20"/>
  <c r="G18" i="20"/>
  <c r="F18" i="20"/>
  <c r="D18" i="20"/>
  <c r="C18" i="20"/>
  <c r="G17" i="20"/>
  <c r="F17" i="20"/>
  <c r="D17" i="20"/>
  <c r="C17" i="20"/>
  <c r="G16" i="20"/>
  <c r="F16" i="20"/>
  <c r="D16" i="20"/>
  <c r="C16" i="20"/>
  <c r="G15" i="20"/>
  <c r="F15" i="20"/>
  <c r="D15" i="20"/>
  <c r="C15" i="20"/>
  <c r="G14" i="20"/>
  <c r="F14" i="20"/>
  <c r="D14" i="20"/>
  <c r="C14" i="20"/>
  <c r="G13" i="20"/>
  <c r="F13" i="20"/>
  <c r="D13" i="20"/>
  <c r="C13" i="20"/>
  <c r="G12" i="20"/>
  <c r="F12" i="20"/>
  <c r="D12" i="20"/>
  <c r="C12" i="20"/>
  <c r="G11" i="20"/>
  <c r="F11" i="20"/>
  <c r="D11" i="20"/>
  <c r="C11" i="20"/>
  <c r="G10" i="20"/>
  <c r="F10" i="20"/>
  <c r="D10" i="20"/>
  <c r="C10" i="20"/>
  <c r="G9" i="20"/>
  <c r="F9" i="20"/>
  <c r="D9" i="20"/>
  <c r="C9" i="20"/>
  <c r="G8" i="20"/>
  <c r="F8" i="20"/>
  <c r="D8" i="20"/>
  <c r="C8" i="20"/>
  <c r="G7" i="20"/>
  <c r="F7" i="20"/>
  <c r="D7" i="20"/>
  <c r="C7" i="20"/>
  <c r="G6" i="20"/>
  <c r="F6" i="20"/>
  <c r="D6" i="20"/>
  <c r="C6" i="20"/>
  <c r="F28" i="10"/>
  <c r="F166" i="19"/>
  <c r="F125" i="19"/>
  <c r="F84" i="19"/>
  <c r="F166" i="17"/>
  <c r="F125" i="17"/>
  <c r="F84" i="17"/>
  <c r="F143" i="3" s="1"/>
  <c r="E31" i="13"/>
  <c r="E29" i="13"/>
  <c r="E28" i="13"/>
  <c r="E64" i="7"/>
  <c r="E62" i="7"/>
  <c r="E61" i="7"/>
  <c r="E191" i="3"/>
  <c r="E190" i="3"/>
  <c r="E181" i="3"/>
  <c r="E180" i="3"/>
  <c r="E171" i="3"/>
  <c r="E170" i="3"/>
  <c r="E161" i="3"/>
  <c r="E160" i="3"/>
  <c r="E151" i="3"/>
  <c r="E150" i="3"/>
  <c r="E141" i="3"/>
  <c r="E140" i="3"/>
  <c r="G22" i="14"/>
  <c r="F22" i="14"/>
  <c r="D22" i="14"/>
  <c r="C22" i="14"/>
  <c r="G20" i="14"/>
  <c r="F20" i="14"/>
  <c r="D20" i="14"/>
  <c r="C20" i="14"/>
  <c r="G19" i="14"/>
  <c r="F19" i="14"/>
  <c r="D19" i="14"/>
  <c r="C19" i="14"/>
  <c r="G18" i="14"/>
  <c r="F18" i="14"/>
  <c r="D18" i="14"/>
  <c r="C18" i="14"/>
  <c r="G17" i="14"/>
  <c r="F17" i="14"/>
  <c r="D17" i="14"/>
  <c r="C17" i="14"/>
  <c r="G16" i="14"/>
  <c r="F16" i="14"/>
  <c r="D16" i="14"/>
  <c r="C16" i="14"/>
  <c r="G15" i="14"/>
  <c r="F15" i="14"/>
  <c r="D15" i="14"/>
  <c r="C15" i="14"/>
  <c r="G14" i="14"/>
  <c r="F14" i="14"/>
  <c r="D14" i="14"/>
  <c r="C14" i="14"/>
  <c r="G13" i="14"/>
  <c r="F13" i="14"/>
  <c r="D13" i="14"/>
  <c r="C13" i="14"/>
  <c r="G12" i="14"/>
  <c r="F12" i="14"/>
  <c r="D12" i="14"/>
  <c r="C12" i="14"/>
  <c r="G11" i="14"/>
  <c r="F11" i="14"/>
  <c r="D11" i="14"/>
  <c r="G10" i="14"/>
  <c r="F10" i="14"/>
  <c r="D10" i="14"/>
  <c r="C10" i="14"/>
  <c r="G9" i="14"/>
  <c r="F9" i="14"/>
  <c r="D9" i="14"/>
  <c r="C9" i="14"/>
  <c r="G8" i="14"/>
  <c r="F8" i="14"/>
  <c r="D8" i="14"/>
  <c r="C8" i="14"/>
  <c r="G7" i="14"/>
  <c r="F7" i="14"/>
  <c r="D7" i="14"/>
  <c r="C7" i="14"/>
  <c r="G6" i="14"/>
  <c r="F6" i="14"/>
  <c r="D6" i="14"/>
  <c r="C6" i="14"/>
  <c r="E28" i="10"/>
  <c r="E166" i="19"/>
  <c r="E125" i="19"/>
  <c r="E84" i="19"/>
  <c r="E166" i="17"/>
  <c r="E125" i="17"/>
  <c r="E84" i="17"/>
  <c r="D31" i="13"/>
  <c r="D29" i="13"/>
  <c r="D28" i="13"/>
  <c r="D64" i="7"/>
  <c r="D62" i="7"/>
  <c r="D61" i="7"/>
  <c r="D191" i="3"/>
  <c r="D190" i="3"/>
  <c r="D181" i="3"/>
  <c r="D180" i="3"/>
  <c r="D171" i="3"/>
  <c r="D170" i="3"/>
  <c r="D161" i="3"/>
  <c r="D160" i="3"/>
  <c r="D151" i="3"/>
  <c r="D150" i="3"/>
  <c r="D141" i="3"/>
  <c r="D140" i="3"/>
  <c r="G22" i="1"/>
  <c r="F22" i="1"/>
  <c r="D22" i="1"/>
  <c r="C22" i="1"/>
  <c r="G20" i="1"/>
  <c r="F20" i="1"/>
  <c r="D20" i="1"/>
  <c r="C20" i="1"/>
  <c r="G19" i="1"/>
  <c r="F19" i="1"/>
  <c r="D19" i="1"/>
  <c r="C19" i="1"/>
  <c r="G18" i="1"/>
  <c r="F18" i="1"/>
  <c r="D18" i="1"/>
  <c r="C18" i="1"/>
  <c r="G17" i="1"/>
  <c r="F17" i="1"/>
  <c r="D17" i="1"/>
  <c r="C17" i="1"/>
  <c r="G16" i="1"/>
  <c r="F16" i="1"/>
  <c r="D16" i="1"/>
  <c r="C16" i="1"/>
  <c r="G15" i="1"/>
  <c r="F15" i="1"/>
  <c r="D15" i="1"/>
  <c r="C15" i="1"/>
  <c r="G14" i="1"/>
  <c r="F14" i="1"/>
  <c r="D14" i="1"/>
  <c r="C14" i="1"/>
  <c r="G13" i="1"/>
  <c r="F13" i="1"/>
  <c r="D13" i="1"/>
  <c r="C13" i="1"/>
  <c r="G12" i="1"/>
  <c r="F12" i="1"/>
  <c r="D12" i="1"/>
  <c r="C12" i="1"/>
  <c r="G11" i="1"/>
  <c r="F11" i="1"/>
  <c r="D11" i="1"/>
  <c r="C11" i="1"/>
  <c r="G10" i="1"/>
  <c r="F10" i="1"/>
  <c r="D10" i="1"/>
  <c r="C10" i="1"/>
  <c r="G9" i="1"/>
  <c r="F9" i="1"/>
  <c r="D9" i="1"/>
  <c r="C9" i="1"/>
  <c r="G8" i="1"/>
  <c r="F8" i="1"/>
  <c r="D8" i="1"/>
  <c r="C8" i="1"/>
  <c r="G7" i="1"/>
  <c r="F7" i="1"/>
  <c r="D7" i="1"/>
  <c r="C7" i="1"/>
  <c r="G6" i="1"/>
  <c r="F6" i="1"/>
  <c r="D6" i="1"/>
  <c r="C6" i="1"/>
  <c r="D28" i="10"/>
  <c r="D166" i="19"/>
  <c r="D125" i="19"/>
  <c r="D84" i="19"/>
  <c r="D166" i="17"/>
  <c r="D125" i="17"/>
  <c r="D84" i="17"/>
  <c r="C137" i="25"/>
  <c r="C152" i="26"/>
  <c r="C17" i="25"/>
  <c r="C77" i="25"/>
  <c r="C2" i="26"/>
  <c r="C62" i="25"/>
  <c r="C167" i="26"/>
  <c r="C107" i="25"/>
  <c r="C107" i="26"/>
  <c r="C182" i="26"/>
  <c r="C167" i="25"/>
  <c r="C47" i="26"/>
  <c r="C2" i="25"/>
  <c r="C92" i="26"/>
  <c r="C152" i="25"/>
  <c r="C17" i="26"/>
  <c r="C32" i="25"/>
  <c r="C197" i="25"/>
  <c r="C92" i="25"/>
  <c r="C62" i="26"/>
  <c r="C122" i="25"/>
  <c r="C32" i="26"/>
  <c r="C122" i="26"/>
  <c r="C137" i="26"/>
  <c r="C182" i="25"/>
  <c r="C197" i="26"/>
  <c r="C47" i="25"/>
  <c r="C77" i="26"/>
  <c r="X9" i="23" l="1"/>
  <c r="Y9" i="23"/>
  <c r="X13" i="23"/>
  <c r="Y13" i="23"/>
  <c r="X17" i="23"/>
  <c r="Y17" i="23"/>
  <c r="Y6" i="23"/>
  <c r="X6" i="23"/>
  <c r="Y10" i="23"/>
  <c r="X10" i="23"/>
  <c r="Y14" i="23"/>
  <c r="X14" i="23"/>
  <c r="Y18" i="23"/>
  <c r="X18" i="23"/>
  <c r="X21" i="23"/>
  <c r="Y21" i="23"/>
  <c r="X7" i="23"/>
  <c r="Y7" i="23"/>
  <c r="X11" i="23"/>
  <c r="Y11" i="23"/>
  <c r="X15" i="23"/>
  <c r="Y15" i="23"/>
  <c r="X19" i="23"/>
  <c r="Y19" i="23"/>
  <c r="Y8" i="23"/>
  <c r="X8" i="23"/>
  <c r="Y12" i="23"/>
  <c r="X12" i="23"/>
  <c r="Y16" i="23"/>
  <c r="X16" i="23"/>
  <c r="W21" i="23"/>
  <c r="V21" i="23"/>
  <c r="V19" i="23"/>
  <c r="V18" i="23"/>
  <c r="W18" i="23"/>
  <c r="W17" i="23"/>
  <c r="V17" i="23"/>
  <c r="W16" i="23"/>
  <c r="V15" i="23"/>
  <c r="V14" i="23"/>
  <c r="W14" i="23"/>
  <c r="W13" i="23"/>
  <c r="V13" i="23"/>
  <c r="W12" i="23"/>
  <c r="V11" i="23"/>
  <c r="V10" i="23"/>
  <c r="W10" i="23"/>
  <c r="W9" i="23"/>
  <c r="V9" i="23"/>
  <c r="AD20" i="23"/>
  <c r="AC20" i="23"/>
  <c r="W8" i="23"/>
  <c r="V7" i="23"/>
  <c r="AE20" i="23"/>
  <c r="AB20" i="23"/>
  <c r="AA20" i="23"/>
  <c r="V6" i="23"/>
  <c r="U20" i="23"/>
  <c r="X20" i="23" l="1"/>
  <c r="Y20" i="23"/>
  <c r="Z20" i="23"/>
  <c r="W7" i="23"/>
  <c r="V8" i="23"/>
  <c r="W11" i="23"/>
  <c r="V12" i="23"/>
  <c r="W15" i="23"/>
  <c r="V16" i="23"/>
  <c r="W19" i="23"/>
  <c r="W6" i="23"/>
  <c r="V20" i="23" l="1"/>
  <c r="W20" i="23"/>
  <c r="F221" i="26"/>
  <c r="E221" i="26"/>
  <c r="D221" i="26"/>
  <c r="I28" i="6" l="1"/>
  <c r="J28" i="6" s="1"/>
  <c r="K28" i="6" l="1"/>
  <c r="L28" i="6" s="1"/>
  <c r="F193" i="18"/>
  <c r="E193" i="18"/>
  <c r="D193" i="18"/>
  <c r="M28" i="6" l="1"/>
  <c r="N28" i="6" s="1"/>
  <c r="D221" i="18"/>
  <c r="D67" i="18"/>
  <c r="O28" i="6" l="1"/>
  <c r="P28" i="6" s="1"/>
  <c r="Q28" i="6" s="1"/>
  <c r="E67" i="18"/>
  <c r="F67" i="18" l="1"/>
  <c r="D109" i="18" l="1"/>
  <c r="F30" i="13"/>
  <c r="E30" i="13"/>
  <c r="D30" i="13"/>
  <c r="F63" i="7" l="1"/>
  <c r="F65" i="7" s="1"/>
  <c r="E63" i="7"/>
  <c r="E65" i="7" s="1"/>
  <c r="D63" i="7"/>
  <c r="D65" i="7" s="1"/>
  <c r="G49" i="7"/>
  <c r="D44" i="7"/>
  <c r="D49" i="7" s="1"/>
  <c r="F109" i="18" l="1"/>
  <c r="E109" i="18"/>
  <c r="D40" i="23" l="1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0" i="23"/>
  <c r="M132" i="3" s="1"/>
  <c r="D41" i="23" l="1"/>
  <c r="F192" i="3"/>
  <c r="F194" i="3" s="1"/>
  <c r="E192" i="3"/>
  <c r="D192" i="3"/>
  <c r="F182" i="3"/>
  <c r="F184" i="3" s="1"/>
  <c r="E182" i="3"/>
  <c r="D182" i="3"/>
  <c r="F172" i="3"/>
  <c r="F174" i="3" s="1"/>
  <c r="E172" i="3"/>
  <c r="D172" i="3"/>
  <c r="F162" i="3"/>
  <c r="F164" i="3" s="1"/>
  <c r="E162" i="3"/>
  <c r="D162" i="3"/>
  <c r="F152" i="3"/>
  <c r="F154" i="3" s="1"/>
  <c r="E152" i="3"/>
  <c r="D152" i="3"/>
  <c r="E142" i="3"/>
  <c r="D142" i="3"/>
  <c r="F82" i="17" l="1"/>
  <c r="F78" i="17"/>
  <c r="F74" i="17"/>
  <c r="F70" i="17"/>
  <c r="F75" i="17"/>
  <c r="F81" i="17"/>
  <c r="F77" i="17"/>
  <c r="F73" i="17"/>
  <c r="F69" i="17"/>
  <c r="F79" i="17"/>
  <c r="F71" i="17"/>
  <c r="F80" i="17"/>
  <c r="F76" i="17"/>
  <c r="F72" i="17"/>
  <c r="F123" i="19"/>
  <c r="F119" i="19"/>
  <c r="F115" i="19"/>
  <c r="F111" i="19"/>
  <c r="F116" i="19"/>
  <c r="F122" i="19"/>
  <c r="F118" i="19"/>
  <c r="F114" i="19"/>
  <c r="F110" i="19"/>
  <c r="F120" i="19"/>
  <c r="F121" i="19"/>
  <c r="F117" i="19"/>
  <c r="F113" i="19"/>
  <c r="F112" i="19"/>
  <c r="F81" i="19"/>
  <c r="F77" i="19"/>
  <c r="F73" i="19"/>
  <c r="F69" i="19"/>
  <c r="F78" i="19"/>
  <c r="F80" i="19"/>
  <c r="F76" i="19"/>
  <c r="F72" i="19"/>
  <c r="F82" i="19"/>
  <c r="F70" i="19"/>
  <c r="F79" i="19"/>
  <c r="F75" i="19"/>
  <c r="F71" i="19"/>
  <c r="F74" i="19"/>
  <c r="F120" i="17"/>
  <c r="F116" i="17"/>
  <c r="F112" i="17"/>
  <c r="F113" i="17"/>
  <c r="F123" i="17"/>
  <c r="F119" i="17"/>
  <c r="F115" i="17"/>
  <c r="F111" i="17"/>
  <c r="F117" i="17"/>
  <c r="F122" i="17"/>
  <c r="F118" i="17"/>
  <c r="F114" i="17"/>
  <c r="F110" i="17"/>
  <c r="F121" i="17"/>
  <c r="F163" i="19"/>
  <c r="F159" i="19"/>
  <c r="F155" i="19"/>
  <c r="F151" i="19"/>
  <c r="F156" i="19"/>
  <c r="F162" i="19"/>
  <c r="F158" i="19"/>
  <c r="F154" i="19"/>
  <c r="F164" i="19"/>
  <c r="F152" i="19"/>
  <c r="F161" i="19"/>
  <c r="F157" i="19"/>
  <c r="F153" i="19"/>
  <c r="F160" i="19"/>
  <c r="F164" i="17"/>
  <c r="F160" i="17"/>
  <c r="F156" i="17"/>
  <c r="F152" i="17"/>
  <c r="F163" i="17"/>
  <c r="F159" i="17"/>
  <c r="F155" i="17"/>
  <c r="F151" i="17"/>
  <c r="F161" i="17"/>
  <c r="F153" i="17"/>
  <c r="F162" i="17"/>
  <c r="F158" i="17"/>
  <c r="F154" i="17"/>
  <c r="F157" i="17"/>
  <c r="E154" i="3"/>
  <c r="E174" i="3"/>
  <c r="E194" i="3"/>
  <c r="E144" i="3"/>
  <c r="E164" i="3"/>
  <c r="E184" i="3"/>
  <c r="D144" i="3"/>
  <c r="D154" i="3"/>
  <c r="D164" i="3"/>
  <c r="D174" i="3"/>
  <c r="D184" i="3"/>
  <c r="D194" i="3"/>
  <c r="F159" i="26"/>
  <c r="F190" i="26"/>
  <c r="F144" i="26"/>
  <c r="F175" i="26"/>
  <c r="F25" i="26"/>
  <c r="F205" i="26"/>
  <c r="F145" i="26"/>
  <c r="F99" i="26"/>
  <c r="F100" i="26"/>
  <c r="F69" i="26"/>
  <c r="F174" i="26"/>
  <c r="F24" i="26"/>
  <c r="F115" i="26"/>
  <c r="F55" i="26"/>
  <c r="F114" i="26"/>
  <c r="F40" i="26"/>
  <c r="F39" i="26"/>
  <c r="F9" i="26"/>
  <c r="F70" i="26"/>
  <c r="F54" i="26"/>
  <c r="F85" i="26"/>
  <c r="F84" i="26"/>
  <c r="F10" i="26"/>
  <c r="F160" i="26"/>
  <c r="F130" i="26"/>
  <c r="F204" i="26"/>
  <c r="F129" i="26"/>
  <c r="F189" i="26"/>
  <c r="E81" i="19" l="1"/>
  <c r="E77" i="19"/>
  <c r="E73" i="19"/>
  <c r="E69" i="19"/>
  <c r="E78" i="19"/>
  <c r="E80" i="19"/>
  <c r="E76" i="19"/>
  <c r="E72" i="19"/>
  <c r="E79" i="19"/>
  <c r="E75" i="19"/>
  <c r="E82" i="19"/>
  <c r="E71" i="19"/>
  <c r="E74" i="19"/>
  <c r="E70" i="19"/>
  <c r="E120" i="17"/>
  <c r="E116" i="17"/>
  <c r="E112" i="17"/>
  <c r="E121" i="17"/>
  <c r="E113" i="17"/>
  <c r="E123" i="17"/>
  <c r="E119" i="17"/>
  <c r="E115" i="17"/>
  <c r="E111" i="17"/>
  <c r="E118" i="17"/>
  <c r="E110" i="17"/>
  <c r="E122" i="17"/>
  <c r="E114" i="17"/>
  <c r="E117" i="17"/>
  <c r="E82" i="17"/>
  <c r="E78" i="17"/>
  <c r="E74" i="17"/>
  <c r="E70" i="17"/>
  <c r="E79" i="17"/>
  <c r="E71" i="17"/>
  <c r="E81" i="17"/>
  <c r="E77" i="17"/>
  <c r="E73" i="17"/>
  <c r="E69" i="17"/>
  <c r="E76" i="17"/>
  <c r="E75" i="17"/>
  <c r="E80" i="17"/>
  <c r="E72" i="17"/>
  <c r="E123" i="19"/>
  <c r="E119" i="19"/>
  <c r="E115" i="19"/>
  <c r="E111" i="19"/>
  <c r="E122" i="19"/>
  <c r="E118" i="19"/>
  <c r="E114" i="19"/>
  <c r="E110" i="19"/>
  <c r="E121" i="19"/>
  <c r="E113" i="19"/>
  <c r="E116" i="19"/>
  <c r="E117" i="19"/>
  <c r="E120" i="19"/>
  <c r="E112" i="19"/>
  <c r="E164" i="17"/>
  <c r="E160" i="17"/>
  <c r="E156" i="17"/>
  <c r="E152" i="17"/>
  <c r="E157" i="17"/>
  <c r="E163" i="17"/>
  <c r="E159" i="17"/>
  <c r="E155" i="17"/>
  <c r="E151" i="17"/>
  <c r="E158" i="17"/>
  <c r="E161" i="17"/>
  <c r="E162" i="17"/>
  <c r="E154" i="17"/>
  <c r="E153" i="17"/>
  <c r="E163" i="19"/>
  <c r="E159" i="19"/>
  <c r="E155" i="19"/>
  <c r="E151" i="19"/>
  <c r="E164" i="19"/>
  <c r="E152" i="19"/>
  <c r="E162" i="19"/>
  <c r="E158" i="19"/>
  <c r="E154" i="19"/>
  <c r="E161" i="19"/>
  <c r="E157" i="19"/>
  <c r="E153" i="19"/>
  <c r="E160" i="19"/>
  <c r="E156" i="19"/>
  <c r="D79" i="19"/>
  <c r="D75" i="19"/>
  <c r="D71" i="19"/>
  <c r="D77" i="19"/>
  <c r="D73" i="19"/>
  <c r="D80" i="19"/>
  <c r="D82" i="19"/>
  <c r="D78" i="19"/>
  <c r="D74" i="19"/>
  <c r="D70" i="19"/>
  <c r="D81" i="19"/>
  <c r="D69" i="19"/>
  <c r="D76" i="19"/>
  <c r="D72" i="19"/>
  <c r="D161" i="19"/>
  <c r="D157" i="19"/>
  <c r="D153" i="19"/>
  <c r="D163" i="19"/>
  <c r="D155" i="19"/>
  <c r="D164" i="19"/>
  <c r="D160" i="19"/>
  <c r="D156" i="19"/>
  <c r="D152" i="19"/>
  <c r="D159" i="19"/>
  <c r="D151" i="19"/>
  <c r="D162" i="19"/>
  <c r="D158" i="19"/>
  <c r="D154" i="19"/>
  <c r="D122" i="17"/>
  <c r="D118" i="17"/>
  <c r="D114" i="17"/>
  <c r="D110" i="17"/>
  <c r="D121" i="17"/>
  <c r="D113" i="17"/>
  <c r="D120" i="17"/>
  <c r="D116" i="17"/>
  <c r="D117" i="17"/>
  <c r="D112" i="17"/>
  <c r="D115" i="17"/>
  <c r="D111" i="17"/>
  <c r="D123" i="17"/>
  <c r="D119" i="17"/>
  <c r="D162" i="17"/>
  <c r="D158" i="17"/>
  <c r="D154" i="17"/>
  <c r="D164" i="17"/>
  <c r="D161" i="17"/>
  <c r="D157" i="17"/>
  <c r="D153" i="17"/>
  <c r="D160" i="17"/>
  <c r="D156" i="17"/>
  <c r="D152" i="17"/>
  <c r="D155" i="17"/>
  <c r="D151" i="17"/>
  <c r="D163" i="17"/>
  <c r="D159" i="17"/>
  <c r="D121" i="19"/>
  <c r="D117" i="19"/>
  <c r="D113" i="19"/>
  <c r="D119" i="19"/>
  <c r="D111" i="19"/>
  <c r="D118" i="19"/>
  <c r="D120" i="19"/>
  <c r="D116" i="19"/>
  <c r="D112" i="19"/>
  <c r="D123" i="19"/>
  <c r="D115" i="19"/>
  <c r="D122" i="19"/>
  <c r="D114" i="19"/>
  <c r="D110" i="19"/>
  <c r="D80" i="17"/>
  <c r="D76" i="17"/>
  <c r="D72" i="17"/>
  <c r="D75" i="17"/>
  <c r="D71" i="17"/>
  <c r="D82" i="17"/>
  <c r="D78" i="17"/>
  <c r="D74" i="17"/>
  <c r="D70" i="17"/>
  <c r="D79" i="17"/>
  <c r="D77" i="17"/>
  <c r="D81" i="17"/>
  <c r="D73" i="17"/>
  <c r="D69" i="17"/>
  <c r="F220" i="26"/>
  <c r="F219" i="26"/>
  <c r="F193" i="3"/>
  <c r="E193" i="3" s="1"/>
  <c r="D193" i="3" s="1"/>
  <c r="F153" i="3"/>
  <c r="E153" i="3" s="1"/>
  <c r="D153" i="3" s="1"/>
  <c r="F163" i="3"/>
  <c r="E163" i="3" s="1"/>
  <c r="D163" i="3" s="1"/>
  <c r="F173" i="3"/>
  <c r="E173" i="3" s="1"/>
  <c r="D173" i="3" s="1"/>
  <c r="F183" i="3"/>
  <c r="E183" i="3" s="1"/>
  <c r="D183" i="3" s="1"/>
  <c r="E143" i="3"/>
  <c r="D143" i="3" s="1"/>
  <c r="G20" i="21"/>
  <c r="F20" i="21"/>
  <c r="E20" i="21"/>
  <c r="D20" i="21"/>
  <c r="C20" i="21"/>
  <c r="G19" i="21"/>
  <c r="F20" i="12" s="1"/>
  <c r="F19" i="21"/>
  <c r="E48" i="7" s="1"/>
  <c r="D19" i="21"/>
  <c r="C19" i="21"/>
  <c r="G18" i="21"/>
  <c r="F19" i="12" s="1"/>
  <c r="F18" i="21"/>
  <c r="E47" i="7" s="1"/>
  <c r="D18" i="21"/>
  <c r="C18" i="21"/>
  <c r="G17" i="21"/>
  <c r="F18" i="12" s="1"/>
  <c r="F17" i="21"/>
  <c r="E46" i="7" s="1"/>
  <c r="D17" i="21"/>
  <c r="C17" i="21"/>
  <c r="G16" i="21"/>
  <c r="F17" i="12" s="1"/>
  <c r="F16" i="21"/>
  <c r="E45" i="7" s="1"/>
  <c r="D16" i="21"/>
  <c r="C16" i="21"/>
  <c r="G15" i="21"/>
  <c r="F16" i="12" s="1"/>
  <c r="F15" i="21"/>
  <c r="E44" i="7" s="1"/>
  <c r="F44" i="7" s="1"/>
  <c r="D15" i="21"/>
  <c r="C15" i="21"/>
  <c r="G14" i="21"/>
  <c r="F15" i="12" s="1"/>
  <c r="F14" i="21"/>
  <c r="E43" i="7" s="1"/>
  <c r="D14" i="21"/>
  <c r="C14" i="21"/>
  <c r="G13" i="21"/>
  <c r="F14" i="12" s="1"/>
  <c r="F13" i="21"/>
  <c r="E42" i="7" s="1"/>
  <c r="D13" i="21"/>
  <c r="C13" i="21"/>
  <c r="G12" i="21"/>
  <c r="F13" i="12" s="1"/>
  <c r="F12" i="21"/>
  <c r="E41" i="7" s="1"/>
  <c r="D12" i="21"/>
  <c r="C12" i="21"/>
  <c r="G11" i="21"/>
  <c r="F12" i="12" s="1"/>
  <c r="F11" i="21"/>
  <c r="E40" i="7" s="1"/>
  <c r="D11" i="21"/>
  <c r="C11" i="21"/>
  <c r="G10" i="21"/>
  <c r="F11" i="12" s="1"/>
  <c r="F10" i="21"/>
  <c r="E39" i="7" s="1"/>
  <c r="D10" i="21"/>
  <c r="C10" i="21"/>
  <c r="G9" i="21"/>
  <c r="F10" i="12" s="1"/>
  <c r="F9" i="21"/>
  <c r="E38" i="7" s="1"/>
  <c r="D9" i="21"/>
  <c r="C9" i="21"/>
  <c r="G8" i="21"/>
  <c r="F9" i="12" s="1"/>
  <c r="F8" i="21"/>
  <c r="E37" i="7" s="1"/>
  <c r="D8" i="21"/>
  <c r="C8" i="21"/>
  <c r="G7" i="21"/>
  <c r="F8" i="12" s="1"/>
  <c r="F7" i="21"/>
  <c r="E36" i="7" s="1"/>
  <c r="D7" i="21"/>
  <c r="C7" i="21"/>
  <c r="G6" i="21"/>
  <c r="F7" i="12" s="1"/>
  <c r="F6" i="21"/>
  <c r="E35" i="7" s="1"/>
  <c r="D6" i="21"/>
  <c r="C6" i="21"/>
  <c r="E204" i="26"/>
  <c r="D129" i="26"/>
  <c r="D39" i="26"/>
  <c r="E130" i="26"/>
  <c r="D204" i="26"/>
  <c r="D160" i="26"/>
  <c r="E145" i="26"/>
  <c r="E129" i="26"/>
  <c r="D25" i="26"/>
  <c r="D100" i="26"/>
  <c r="E114" i="26"/>
  <c r="E189" i="26"/>
  <c r="D174" i="26"/>
  <c r="D175" i="26"/>
  <c r="D145" i="26"/>
  <c r="D115" i="26"/>
  <c r="E99" i="26"/>
  <c r="D190" i="26"/>
  <c r="E159" i="26"/>
  <c r="E25" i="26"/>
  <c r="E100" i="26"/>
  <c r="E55" i="26"/>
  <c r="D69" i="26"/>
  <c r="D99" i="26"/>
  <c r="E84" i="26"/>
  <c r="E144" i="26"/>
  <c r="D205" i="26"/>
  <c r="D9" i="26"/>
  <c r="E70" i="26"/>
  <c r="E40" i="26"/>
  <c r="E54" i="26"/>
  <c r="E9" i="26"/>
  <c r="D55" i="26"/>
  <c r="E160" i="26"/>
  <c r="E85" i="26"/>
  <c r="D114" i="26"/>
  <c r="D159" i="26"/>
  <c r="D70" i="26"/>
  <c r="D54" i="26"/>
  <c r="D10" i="26"/>
  <c r="E174" i="26"/>
  <c r="F13" i="25"/>
  <c r="E39" i="26"/>
  <c r="E24" i="26"/>
  <c r="E115" i="26"/>
  <c r="E69" i="26"/>
  <c r="E190" i="26"/>
  <c r="D189" i="26"/>
  <c r="E205" i="26"/>
  <c r="E175" i="26"/>
  <c r="E10" i="26"/>
  <c r="D84" i="26"/>
  <c r="D130" i="26"/>
  <c r="D40" i="26"/>
  <c r="D85" i="26"/>
  <c r="D24" i="26"/>
  <c r="D144" i="26"/>
  <c r="D220" i="26" l="1"/>
  <c r="E220" i="26"/>
  <c r="D219" i="26"/>
  <c r="E219" i="26"/>
  <c r="D21" i="21"/>
  <c r="D24" i="21" s="1"/>
  <c r="I20" i="21"/>
  <c r="G21" i="21"/>
  <c r="G24" i="21" s="1"/>
  <c r="F38" i="7"/>
  <c r="F39" i="7"/>
  <c r="F43" i="7"/>
  <c r="F45" i="7"/>
  <c r="F46" i="7"/>
  <c r="F40" i="7"/>
  <c r="F47" i="7"/>
  <c r="C21" i="21"/>
  <c r="C24" i="21" s="1"/>
  <c r="F21" i="21"/>
  <c r="E49" i="7"/>
  <c r="F49" i="7" s="1"/>
  <c r="F35" i="7"/>
  <c r="F41" i="7"/>
  <c r="F48" i="7"/>
  <c r="F36" i="7"/>
  <c r="F37" i="7"/>
  <c r="F42" i="7"/>
  <c r="H21" i="20"/>
  <c r="G21" i="20"/>
  <c r="G23" i="20" s="1"/>
  <c r="F21" i="20"/>
  <c r="D21" i="20"/>
  <c r="C21" i="20"/>
  <c r="I20" i="20"/>
  <c r="I19" i="20"/>
  <c r="E19" i="21"/>
  <c r="I19" i="21" s="1"/>
  <c r="E18" i="21"/>
  <c r="I18" i="21" s="1"/>
  <c r="E17" i="21"/>
  <c r="I17" i="21" s="1"/>
  <c r="I16" i="20"/>
  <c r="E16" i="21"/>
  <c r="I16" i="21" s="1"/>
  <c r="I15" i="20"/>
  <c r="E15" i="21"/>
  <c r="I15" i="21" s="1"/>
  <c r="E14" i="21"/>
  <c r="I14" i="21" s="1"/>
  <c r="E13" i="21"/>
  <c r="I13" i="21" s="1"/>
  <c r="I12" i="20"/>
  <c r="E12" i="21"/>
  <c r="I12" i="21" s="1"/>
  <c r="I11" i="20"/>
  <c r="E11" i="21"/>
  <c r="I11" i="21" s="1"/>
  <c r="E10" i="21"/>
  <c r="I10" i="21" s="1"/>
  <c r="E9" i="21"/>
  <c r="I9" i="21" s="1"/>
  <c r="I8" i="20"/>
  <c r="E8" i="21"/>
  <c r="I8" i="21" s="1"/>
  <c r="I7" i="20"/>
  <c r="E7" i="21"/>
  <c r="E6" i="21"/>
  <c r="I6" i="21" s="1"/>
  <c r="G20" i="15"/>
  <c r="F20" i="15"/>
  <c r="E20" i="15"/>
  <c r="D20" i="15"/>
  <c r="C20" i="15"/>
  <c r="G19" i="15"/>
  <c r="E20" i="12" s="1"/>
  <c r="F19" i="15"/>
  <c r="D19" i="15"/>
  <c r="C19" i="15"/>
  <c r="G18" i="15"/>
  <c r="E19" i="12" s="1"/>
  <c r="F18" i="15"/>
  <c r="D18" i="15"/>
  <c r="C18" i="15"/>
  <c r="G17" i="15"/>
  <c r="E18" i="12" s="1"/>
  <c r="F17" i="15"/>
  <c r="D17" i="15"/>
  <c r="C17" i="15"/>
  <c r="G16" i="15"/>
  <c r="E17" i="12" s="1"/>
  <c r="F16" i="15"/>
  <c r="D16" i="15"/>
  <c r="C16" i="15"/>
  <c r="G15" i="15"/>
  <c r="E16" i="12" s="1"/>
  <c r="F15" i="15"/>
  <c r="D15" i="15"/>
  <c r="C15" i="15"/>
  <c r="G14" i="15"/>
  <c r="E15" i="12" s="1"/>
  <c r="F14" i="15"/>
  <c r="D14" i="15"/>
  <c r="C14" i="15"/>
  <c r="G13" i="15"/>
  <c r="E14" i="12" s="1"/>
  <c r="F13" i="15"/>
  <c r="D13" i="15"/>
  <c r="C13" i="15"/>
  <c r="G12" i="15"/>
  <c r="E13" i="12" s="1"/>
  <c r="F12" i="15"/>
  <c r="D12" i="15"/>
  <c r="C12" i="15"/>
  <c r="G11" i="15"/>
  <c r="E12" i="12" s="1"/>
  <c r="F11" i="15"/>
  <c r="D11" i="15"/>
  <c r="C11" i="15"/>
  <c r="G10" i="15"/>
  <c r="E11" i="12" s="1"/>
  <c r="F10" i="15"/>
  <c r="D10" i="15"/>
  <c r="C10" i="15"/>
  <c r="G9" i="15"/>
  <c r="E10" i="12" s="1"/>
  <c r="F9" i="15"/>
  <c r="D9" i="15"/>
  <c r="C9" i="15"/>
  <c r="G8" i="15"/>
  <c r="E9" i="12" s="1"/>
  <c r="F8" i="15"/>
  <c r="D8" i="15"/>
  <c r="C8" i="15"/>
  <c r="G7" i="15"/>
  <c r="E8" i="12" s="1"/>
  <c r="F7" i="15"/>
  <c r="D7" i="15"/>
  <c r="C7" i="15"/>
  <c r="G6" i="15"/>
  <c r="E7" i="12" s="1"/>
  <c r="F6" i="15"/>
  <c r="D6" i="15"/>
  <c r="C6" i="15"/>
  <c r="H21" i="14"/>
  <c r="D23" i="21" l="1"/>
  <c r="F21" i="15"/>
  <c r="F24" i="15" s="1"/>
  <c r="C21" i="15"/>
  <c r="G23" i="21"/>
  <c r="G21" i="15"/>
  <c r="G23" i="15" s="1"/>
  <c r="F23" i="21"/>
  <c r="F23" i="20"/>
  <c r="D23" i="20" s="1"/>
  <c r="C23" i="20"/>
  <c r="C23" i="21"/>
  <c r="E21" i="21"/>
  <c r="I9" i="20"/>
  <c r="I13" i="20"/>
  <c r="I17" i="20"/>
  <c r="H19" i="21"/>
  <c r="K19" i="21" s="1"/>
  <c r="H17" i="21"/>
  <c r="K17" i="21" s="1"/>
  <c r="H15" i="21"/>
  <c r="K15" i="21" s="1"/>
  <c r="H13" i="21"/>
  <c r="K13" i="21" s="1"/>
  <c r="H11" i="21"/>
  <c r="K11" i="21" s="1"/>
  <c r="H9" i="21"/>
  <c r="K9" i="21" s="1"/>
  <c r="H7" i="21"/>
  <c r="H18" i="21"/>
  <c r="K18" i="21" s="1"/>
  <c r="H16" i="21"/>
  <c r="K16" i="21" s="1"/>
  <c r="H14" i="21"/>
  <c r="K14" i="21" s="1"/>
  <c r="H12" i="21"/>
  <c r="K12" i="21" s="1"/>
  <c r="H10" i="21"/>
  <c r="K10" i="21" s="1"/>
  <c r="H8" i="21"/>
  <c r="K8" i="21" s="1"/>
  <c r="H6" i="21"/>
  <c r="I6" i="20"/>
  <c r="I10" i="20"/>
  <c r="I14" i="20"/>
  <c r="I18" i="20"/>
  <c r="I7" i="21"/>
  <c r="D21" i="15"/>
  <c r="D23" i="15" s="1"/>
  <c r="E50" i="7"/>
  <c r="F24" i="21"/>
  <c r="I20" i="15"/>
  <c r="G21" i="14"/>
  <c r="G23" i="14" s="1"/>
  <c r="F21" i="14"/>
  <c r="F23" i="14" s="1"/>
  <c r="I20" i="14"/>
  <c r="E19" i="15"/>
  <c r="I19" i="15" s="1"/>
  <c r="I18" i="14"/>
  <c r="E18" i="15"/>
  <c r="I18" i="15" s="1"/>
  <c r="I17" i="14"/>
  <c r="E17" i="15"/>
  <c r="I17" i="15" s="1"/>
  <c r="E16" i="15"/>
  <c r="I16" i="15" s="1"/>
  <c r="E15" i="15"/>
  <c r="I15" i="15" s="1"/>
  <c r="I14" i="14"/>
  <c r="E14" i="15"/>
  <c r="I14" i="15" s="1"/>
  <c r="I13" i="14"/>
  <c r="E13" i="15"/>
  <c r="I13" i="15" s="1"/>
  <c r="E12" i="15"/>
  <c r="I12" i="15" s="1"/>
  <c r="E11" i="15"/>
  <c r="I11" i="15" s="1"/>
  <c r="I10" i="14"/>
  <c r="E10" i="15"/>
  <c r="I10" i="15" s="1"/>
  <c r="I9" i="14"/>
  <c r="E9" i="15"/>
  <c r="I9" i="15" s="1"/>
  <c r="E8" i="15"/>
  <c r="I8" i="15" s="1"/>
  <c r="E7" i="15"/>
  <c r="I7" i="15" s="1"/>
  <c r="I6" i="14"/>
  <c r="E6" i="15"/>
  <c r="C23" i="15" l="1"/>
  <c r="C24" i="15"/>
  <c r="F23" i="15"/>
  <c r="G24" i="15"/>
  <c r="K7" i="21"/>
  <c r="E21" i="15"/>
  <c r="E24" i="15" s="1"/>
  <c r="H21" i="21"/>
  <c r="K6" i="21"/>
  <c r="E24" i="21"/>
  <c r="E23" i="21"/>
  <c r="D21" i="14"/>
  <c r="D24" i="15"/>
  <c r="I7" i="14"/>
  <c r="I11" i="14"/>
  <c r="I15" i="14"/>
  <c r="I19" i="14"/>
  <c r="I6" i="15"/>
  <c r="H19" i="15"/>
  <c r="K19" i="15" s="1"/>
  <c r="H17" i="15"/>
  <c r="K17" i="15" s="1"/>
  <c r="H15" i="15"/>
  <c r="K15" i="15" s="1"/>
  <c r="H13" i="15"/>
  <c r="K13" i="15" s="1"/>
  <c r="H11" i="15"/>
  <c r="K11" i="15" s="1"/>
  <c r="H9" i="15"/>
  <c r="K9" i="15" s="1"/>
  <c r="H7" i="15"/>
  <c r="K7" i="15" s="1"/>
  <c r="H18" i="15"/>
  <c r="K18" i="15" s="1"/>
  <c r="H16" i="15"/>
  <c r="K16" i="15" s="1"/>
  <c r="H14" i="15"/>
  <c r="K14" i="15" s="1"/>
  <c r="H12" i="15"/>
  <c r="K12" i="15" s="1"/>
  <c r="H10" i="15"/>
  <c r="K10" i="15" s="1"/>
  <c r="H8" i="15"/>
  <c r="K8" i="15" s="1"/>
  <c r="H6" i="15"/>
  <c r="I8" i="14"/>
  <c r="I12" i="14"/>
  <c r="I16" i="14"/>
  <c r="G20" i="4"/>
  <c r="F20" i="4"/>
  <c r="E20" i="4"/>
  <c r="D20" i="4"/>
  <c r="C20" i="4"/>
  <c r="G19" i="4"/>
  <c r="D20" i="12" s="1"/>
  <c r="F19" i="4"/>
  <c r="D19" i="4"/>
  <c r="C19" i="4"/>
  <c r="G18" i="4"/>
  <c r="D19" i="12" s="1"/>
  <c r="F18" i="4"/>
  <c r="E18" i="4"/>
  <c r="D18" i="4"/>
  <c r="C18" i="4"/>
  <c r="G17" i="4"/>
  <c r="D18" i="12" s="1"/>
  <c r="F17" i="4"/>
  <c r="D17" i="4"/>
  <c r="C17" i="4"/>
  <c r="G16" i="4"/>
  <c r="D17" i="12" s="1"/>
  <c r="F16" i="4"/>
  <c r="D16" i="4"/>
  <c r="C16" i="4"/>
  <c r="G15" i="4"/>
  <c r="D16" i="12" s="1"/>
  <c r="F15" i="4"/>
  <c r="D15" i="4"/>
  <c r="C15" i="4"/>
  <c r="G14" i="4"/>
  <c r="D15" i="12" s="1"/>
  <c r="F14" i="4"/>
  <c r="E14" i="4"/>
  <c r="D14" i="4"/>
  <c r="C14" i="4"/>
  <c r="G13" i="4"/>
  <c r="D14" i="12" s="1"/>
  <c r="F13" i="4"/>
  <c r="D13" i="4"/>
  <c r="C13" i="4"/>
  <c r="G12" i="4"/>
  <c r="D13" i="12" s="1"/>
  <c r="F12" i="4"/>
  <c r="D12" i="4"/>
  <c r="C12" i="4"/>
  <c r="G11" i="4"/>
  <c r="D12" i="12" s="1"/>
  <c r="F11" i="4"/>
  <c r="D11" i="4"/>
  <c r="C11" i="4"/>
  <c r="G10" i="4"/>
  <c r="D11" i="12" s="1"/>
  <c r="F10" i="4"/>
  <c r="E10" i="4"/>
  <c r="D10" i="4"/>
  <c r="C10" i="4"/>
  <c r="G9" i="4"/>
  <c r="D10" i="12" s="1"/>
  <c r="F9" i="4"/>
  <c r="E9" i="4"/>
  <c r="D9" i="4"/>
  <c r="C9" i="4"/>
  <c r="G8" i="4"/>
  <c r="D9" i="12" s="1"/>
  <c r="F8" i="4"/>
  <c r="D8" i="4"/>
  <c r="C8" i="4"/>
  <c r="G7" i="4"/>
  <c r="D8" i="12" s="1"/>
  <c r="F7" i="4"/>
  <c r="D7" i="4"/>
  <c r="C7" i="4"/>
  <c r="G6" i="4"/>
  <c r="D7" i="12" s="1"/>
  <c r="F6" i="4"/>
  <c r="E6" i="4"/>
  <c r="D6" i="4"/>
  <c r="C6" i="4"/>
  <c r="H21" i="1"/>
  <c r="G21" i="1"/>
  <c r="F21" i="1" s="1"/>
  <c r="F23" i="1" s="1"/>
  <c r="C21" i="1"/>
  <c r="C23" i="1" s="1"/>
  <c r="I20" i="1"/>
  <c r="E19" i="4"/>
  <c r="I18" i="1"/>
  <c r="I17" i="1"/>
  <c r="E17" i="4"/>
  <c r="E16" i="4"/>
  <c r="E15" i="4"/>
  <c r="I14" i="1"/>
  <c r="I13" i="1"/>
  <c r="E13" i="4"/>
  <c r="I12" i="1"/>
  <c r="I11" i="1"/>
  <c r="I10" i="1"/>
  <c r="I9" i="1"/>
  <c r="E8" i="4"/>
  <c r="E7" i="4"/>
  <c r="I6" i="1"/>
  <c r="D21" i="1"/>
  <c r="D23" i="1" s="1"/>
  <c r="F43" i="12"/>
  <c r="E43" i="12" s="1"/>
  <c r="D43" i="12" s="1"/>
  <c r="E23" i="15" l="1"/>
  <c r="I13" i="4"/>
  <c r="H17" i="4"/>
  <c r="C21" i="4"/>
  <c r="G21" i="4"/>
  <c r="G23" i="4" s="1"/>
  <c r="I17" i="4"/>
  <c r="G23" i="1"/>
  <c r="I9" i="4"/>
  <c r="H18" i="4"/>
  <c r="H19" i="4"/>
  <c r="H15" i="4"/>
  <c r="H13" i="4"/>
  <c r="K6" i="15"/>
  <c r="H11" i="4"/>
  <c r="C21" i="14"/>
  <c r="C23" i="14" s="1"/>
  <c r="D23" i="14"/>
  <c r="H21" i="15"/>
  <c r="F21" i="4"/>
  <c r="F24" i="4" s="1"/>
  <c r="H7" i="4"/>
  <c r="E12" i="4"/>
  <c r="I12" i="4" s="1"/>
  <c r="I7" i="1"/>
  <c r="I15" i="1"/>
  <c r="I19" i="1"/>
  <c r="H10" i="4"/>
  <c r="I8" i="1"/>
  <c r="I16" i="1"/>
  <c r="D21" i="4"/>
  <c r="D24" i="4" s="1"/>
  <c r="H6" i="4"/>
  <c r="I8" i="4"/>
  <c r="H8" i="4"/>
  <c r="I10" i="4"/>
  <c r="E11" i="4"/>
  <c r="I11" i="4" s="1"/>
  <c r="I14" i="4"/>
  <c r="I18" i="4"/>
  <c r="H9" i="4"/>
  <c r="I7" i="4"/>
  <c r="H12" i="4"/>
  <c r="H14" i="4"/>
  <c r="I16" i="4"/>
  <c r="H16" i="4"/>
  <c r="I6" i="4"/>
  <c r="I20" i="4"/>
  <c r="I15" i="4"/>
  <c r="I19" i="4"/>
  <c r="F22" i="12"/>
  <c r="E22" i="12"/>
  <c r="C23" i="4" l="1"/>
  <c r="C24" i="4"/>
  <c r="F23" i="4"/>
  <c r="K6" i="4"/>
  <c r="K11" i="4"/>
  <c r="K13" i="4"/>
  <c r="K19" i="4"/>
  <c r="K14" i="4"/>
  <c r="K18" i="4"/>
  <c r="K15" i="4"/>
  <c r="D22" i="12"/>
  <c r="G24" i="4"/>
  <c r="K17" i="4"/>
  <c r="K10" i="4"/>
  <c r="D23" i="4"/>
  <c r="K9" i="4"/>
  <c r="K16" i="4"/>
  <c r="E21" i="4"/>
  <c r="E23" i="4" s="1"/>
  <c r="K8" i="4"/>
  <c r="K7" i="4"/>
  <c r="K12" i="4"/>
  <c r="H21" i="4"/>
  <c r="E24" i="4" l="1"/>
  <c r="D28" i="11"/>
  <c r="F22" i="11"/>
  <c r="E22" i="11" s="1"/>
  <c r="D22" i="11" s="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162" i="25"/>
  <c r="F102" i="25"/>
  <c r="F12" i="25"/>
  <c r="F57" i="25"/>
  <c r="F42" i="25"/>
  <c r="F72" i="25"/>
  <c r="F132" i="25"/>
  <c r="F117" i="25"/>
  <c r="D222" i="26"/>
  <c r="D28" i="25"/>
  <c r="F177" i="25"/>
  <c r="F87" i="25"/>
  <c r="F27" i="25"/>
  <c r="F147" i="25"/>
  <c r="F192" i="25"/>
  <c r="F207" i="25"/>
  <c r="F222" i="25" l="1"/>
  <c r="E7" i="11"/>
  <c r="E11" i="11"/>
  <c r="E15" i="11"/>
  <c r="E19" i="11"/>
  <c r="E10" i="11"/>
  <c r="E14" i="11"/>
  <c r="E18" i="11"/>
  <c r="E9" i="11"/>
  <c r="E13" i="11"/>
  <c r="E17" i="11"/>
  <c r="E8" i="11"/>
  <c r="E12" i="11"/>
  <c r="E16" i="11"/>
  <c r="E20" i="11"/>
  <c r="F21" i="11"/>
  <c r="E162" i="25"/>
  <c r="E57" i="25"/>
  <c r="E42" i="25"/>
  <c r="E207" i="25"/>
  <c r="E132" i="25"/>
  <c r="E192" i="25"/>
  <c r="E117" i="25"/>
  <c r="E27" i="25"/>
  <c r="E72" i="25"/>
  <c r="E177" i="25"/>
  <c r="E147" i="25"/>
  <c r="E87" i="25"/>
  <c r="E102" i="25"/>
  <c r="E12" i="25"/>
  <c r="E222" i="25" l="1"/>
  <c r="D18" i="11"/>
  <c r="D16" i="11"/>
  <c r="D10" i="11"/>
  <c r="D7" i="11"/>
  <c r="D8" i="11"/>
  <c r="D15" i="11"/>
  <c r="D12" i="11"/>
  <c r="D9" i="11"/>
  <c r="D19" i="11"/>
  <c r="D13" i="11"/>
  <c r="D20" i="11"/>
  <c r="D17" i="11"/>
  <c r="D14" i="11"/>
  <c r="D11" i="11"/>
  <c r="E21" i="11"/>
  <c r="F22" i="10"/>
  <c r="E22" i="10" s="1"/>
  <c r="D22" i="10"/>
  <c r="D132" i="25"/>
  <c r="D147" i="25"/>
  <c r="D42" i="25"/>
  <c r="D207" i="25"/>
  <c r="D72" i="25"/>
  <c r="D162" i="25"/>
  <c r="D27" i="25"/>
  <c r="D102" i="25"/>
  <c r="D12" i="25"/>
  <c r="D192" i="25"/>
  <c r="D117" i="25"/>
  <c r="D177" i="25"/>
  <c r="D57" i="25"/>
  <c r="D87" i="25"/>
  <c r="D222" i="25" l="1"/>
  <c r="D21" i="11"/>
  <c r="D16" i="10"/>
  <c r="F7" i="10"/>
  <c r="F165" i="19"/>
  <c r="E165" i="19"/>
  <c r="F11" i="25"/>
  <c r="D146" i="25"/>
  <c r="E7" i="10" l="1"/>
  <c r="D165" i="19"/>
  <c r="F124" i="19"/>
  <c r="E124" i="19"/>
  <c r="D124" i="19"/>
  <c r="E11" i="25"/>
  <c r="D7" i="10" l="1"/>
  <c r="D40" i="19"/>
  <c r="E39" i="19"/>
  <c r="D36" i="19"/>
  <c r="E35" i="19"/>
  <c r="D32" i="19"/>
  <c r="E31" i="19"/>
  <c r="E83" i="19"/>
  <c r="D83" i="19"/>
  <c r="F41" i="19"/>
  <c r="E41" i="19"/>
  <c r="D41" i="19"/>
  <c r="F40" i="19"/>
  <c r="E40" i="19"/>
  <c r="F39" i="19"/>
  <c r="D39" i="19"/>
  <c r="F38" i="19"/>
  <c r="E38" i="19"/>
  <c r="D38" i="19"/>
  <c r="F37" i="19"/>
  <c r="E37" i="19"/>
  <c r="D37" i="19"/>
  <c r="F36" i="19"/>
  <c r="E36" i="19"/>
  <c r="F35" i="19"/>
  <c r="D35" i="19"/>
  <c r="E34" i="19"/>
  <c r="D34" i="19"/>
  <c r="F33" i="19"/>
  <c r="E33" i="19"/>
  <c r="D33" i="19"/>
  <c r="F32" i="19"/>
  <c r="E32" i="19"/>
  <c r="F31" i="19"/>
  <c r="D31" i="19"/>
  <c r="E30" i="19"/>
  <c r="D30" i="19"/>
  <c r="F29" i="19"/>
  <c r="E29" i="19"/>
  <c r="D29" i="19"/>
  <c r="F28" i="19"/>
  <c r="E28" i="19"/>
  <c r="F22" i="19"/>
  <c r="E22" i="19" s="1"/>
  <c r="D22" i="19"/>
  <c r="D12" i="19"/>
  <c r="E7" i="19"/>
  <c r="D11" i="25"/>
  <c r="D68" i="26"/>
  <c r="D113" i="26"/>
  <c r="D98" i="26"/>
  <c r="E38" i="26"/>
  <c r="D143" i="26"/>
  <c r="E143" i="26"/>
  <c r="E188" i="26"/>
  <c r="E53" i="26"/>
  <c r="E8" i="26"/>
  <c r="D203" i="26"/>
  <c r="F203" i="26"/>
  <c r="D23" i="26"/>
  <c r="D158" i="26"/>
  <c r="E173" i="26"/>
  <c r="F23" i="26"/>
  <c r="F158" i="26"/>
  <c r="D53" i="26"/>
  <c r="D173" i="26"/>
  <c r="F83" i="26"/>
  <c r="F128" i="26"/>
  <c r="E98" i="26"/>
  <c r="D128" i="26"/>
  <c r="E83" i="26"/>
  <c r="D38" i="26"/>
  <c r="D188" i="26"/>
  <c r="E203" i="26"/>
  <c r="F68" i="26"/>
  <c r="F113" i="26"/>
  <c r="F188" i="26"/>
  <c r="F8" i="26"/>
  <c r="F173" i="26"/>
  <c r="E23" i="26"/>
  <c r="F143" i="26"/>
  <c r="E113" i="26"/>
  <c r="D83" i="26"/>
  <c r="F53" i="26"/>
  <c r="E158" i="26"/>
  <c r="E68" i="26"/>
  <c r="E128" i="26"/>
  <c r="E131" i="19" l="1"/>
  <c r="E49" i="19"/>
  <c r="E86" i="23"/>
  <c r="D91" i="23"/>
  <c r="D95" i="19" s="1"/>
  <c r="D136" i="19"/>
  <c r="D54" i="19"/>
  <c r="E218" i="26"/>
  <c r="E42" i="19"/>
  <c r="D28" i="19"/>
  <c r="F30" i="19"/>
  <c r="D7" i="19"/>
  <c r="F83" i="19"/>
  <c r="F34" i="19"/>
  <c r="F14" i="19"/>
  <c r="F10" i="19"/>
  <c r="F13" i="19"/>
  <c r="F12" i="19"/>
  <c r="F16" i="19"/>
  <c r="F7" i="19"/>
  <c r="F8" i="19"/>
  <c r="F15" i="19"/>
  <c r="F19" i="19"/>
  <c r="F11" i="19"/>
  <c r="F18" i="19"/>
  <c r="F17" i="19"/>
  <c r="F20" i="19"/>
  <c r="E165" i="17"/>
  <c r="D165" i="17"/>
  <c r="F98" i="26"/>
  <c r="E10" i="25"/>
  <c r="D85" i="25"/>
  <c r="F38" i="26"/>
  <c r="D8" i="26"/>
  <c r="F137" i="19" l="1"/>
  <c r="F55" i="19"/>
  <c r="F92" i="23"/>
  <c r="F135" i="19"/>
  <c r="F53" i="19"/>
  <c r="F90" i="23"/>
  <c r="F131" i="19"/>
  <c r="F49" i="19"/>
  <c r="F86" i="23"/>
  <c r="F89" i="23"/>
  <c r="F134" i="19"/>
  <c r="F52" i="19"/>
  <c r="F97" i="23"/>
  <c r="F60" i="19"/>
  <c r="F142" i="19"/>
  <c r="F140" i="19"/>
  <c r="F58" i="19"/>
  <c r="F95" i="23"/>
  <c r="F132" i="19"/>
  <c r="F50" i="19"/>
  <c r="F87" i="23"/>
  <c r="F144" i="19"/>
  <c r="F62" i="19"/>
  <c r="F99" i="23"/>
  <c r="F143" i="19"/>
  <c r="F61" i="19"/>
  <c r="F98" i="23"/>
  <c r="F93" i="23"/>
  <c r="F138" i="19"/>
  <c r="F56" i="19"/>
  <c r="F141" i="19"/>
  <c r="F59" i="19"/>
  <c r="F96" i="23"/>
  <c r="F94" i="23"/>
  <c r="F139" i="19"/>
  <c r="F57" i="19"/>
  <c r="F136" i="19"/>
  <c r="F54" i="19"/>
  <c r="F91" i="23"/>
  <c r="D131" i="19"/>
  <c r="D49" i="19"/>
  <c r="D86" i="23"/>
  <c r="F218" i="26"/>
  <c r="D218" i="26"/>
  <c r="D42" i="19"/>
  <c r="T12" i="19"/>
  <c r="F42" i="19"/>
  <c r="F165" i="17"/>
  <c r="E20" i="19"/>
  <c r="E11" i="19"/>
  <c r="E19" i="19"/>
  <c r="E8" i="19"/>
  <c r="E16" i="19"/>
  <c r="E10" i="19"/>
  <c r="E17" i="19"/>
  <c r="E18" i="19"/>
  <c r="E15" i="19"/>
  <c r="E12" i="19"/>
  <c r="E13" i="19"/>
  <c r="E14" i="19"/>
  <c r="F9" i="19"/>
  <c r="D124" i="17"/>
  <c r="D172" i="18" s="1"/>
  <c r="E124" i="17"/>
  <c r="E172" i="18" s="1"/>
  <c r="F145" i="25"/>
  <c r="F175" i="25"/>
  <c r="D10" i="25"/>
  <c r="F160" i="25"/>
  <c r="F100" i="25"/>
  <c r="F10" i="25"/>
  <c r="F85" i="25"/>
  <c r="F55" i="25"/>
  <c r="F190" i="25"/>
  <c r="E8" i="25"/>
  <c r="F130" i="25"/>
  <c r="F115" i="25"/>
  <c r="D83" i="25"/>
  <c r="F205" i="25"/>
  <c r="F25" i="25"/>
  <c r="F70" i="25"/>
  <c r="F133" i="19" l="1"/>
  <c r="F51" i="19"/>
  <c r="F88" i="23"/>
  <c r="E136" i="19"/>
  <c r="E54" i="19"/>
  <c r="E91" i="23"/>
  <c r="E132" i="19"/>
  <c r="E50" i="19"/>
  <c r="E87" i="23"/>
  <c r="E137" i="19"/>
  <c r="E55" i="19"/>
  <c r="E92" i="23"/>
  <c r="E141" i="19"/>
  <c r="E59" i="19"/>
  <c r="E96" i="23"/>
  <c r="E140" i="19"/>
  <c r="E58" i="19"/>
  <c r="E95" i="23"/>
  <c r="E144" i="19"/>
  <c r="E62" i="19"/>
  <c r="E99" i="23"/>
  <c r="E139" i="19"/>
  <c r="E94" i="23"/>
  <c r="E57" i="19"/>
  <c r="E61" i="19"/>
  <c r="E143" i="19"/>
  <c r="E98" i="23"/>
  <c r="E93" i="23"/>
  <c r="E56" i="19"/>
  <c r="E138" i="19"/>
  <c r="E97" i="23"/>
  <c r="E142" i="19"/>
  <c r="E60" i="19"/>
  <c r="E89" i="23"/>
  <c r="E134" i="19"/>
  <c r="E52" i="19"/>
  <c r="E53" i="19"/>
  <c r="E135" i="19"/>
  <c r="E90" i="23"/>
  <c r="V18" i="19"/>
  <c r="F93" i="19"/>
  <c r="F102" i="19"/>
  <c r="F103" i="19"/>
  <c r="F97" i="19"/>
  <c r="F96" i="19"/>
  <c r="F95" i="19"/>
  <c r="D15" i="19"/>
  <c r="D18" i="19"/>
  <c r="D17" i="19"/>
  <c r="D13" i="19"/>
  <c r="V15" i="19"/>
  <c r="V17" i="19"/>
  <c r="F91" i="19"/>
  <c r="F94" i="19"/>
  <c r="F98" i="19"/>
  <c r="F101" i="19"/>
  <c r="F100" i="19"/>
  <c r="V10" i="19"/>
  <c r="V16" i="19"/>
  <c r="V8" i="19"/>
  <c r="V19" i="19"/>
  <c r="V11" i="19"/>
  <c r="V20" i="19"/>
  <c r="F124" i="17"/>
  <c r="D14" i="19"/>
  <c r="F99" i="19"/>
  <c r="E9" i="19"/>
  <c r="V14" i="19"/>
  <c r="V13" i="19"/>
  <c r="V12" i="19"/>
  <c r="D10" i="19"/>
  <c r="D16" i="19"/>
  <c r="D8" i="19"/>
  <c r="D19" i="19"/>
  <c r="D11" i="19"/>
  <c r="D20" i="19"/>
  <c r="F21" i="19"/>
  <c r="E160" i="25"/>
  <c r="E85" i="25"/>
  <c r="F83" i="25"/>
  <c r="E205" i="25"/>
  <c r="E25" i="25"/>
  <c r="E130" i="25"/>
  <c r="F23" i="25"/>
  <c r="F8" i="25"/>
  <c r="F173" i="25"/>
  <c r="F143" i="25"/>
  <c r="F40" i="25"/>
  <c r="E70" i="25"/>
  <c r="D8" i="25"/>
  <c r="E55" i="25"/>
  <c r="E115" i="25"/>
  <c r="F188" i="25"/>
  <c r="F158" i="25"/>
  <c r="F53" i="25"/>
  <c r="E145" i="25"/>
  <c r="F98" i="25"/>
  <c r="F203" i="25"/>
  <c r="E100" i="25"/>
  <c r="F68" i="25"/>
  <c r="E175" i="25"/>
  <c r="F113" i="25"/>
  <c r="E190" i="25"/>
  <c r="F128" i="25"/>
  <c r="E133" i="19" l="1"/>
  <c r="E51" i="19"/>
  <c r="E88" i="23"/>
  <c r="D55" i="19"/>
  <c r="D92" i="23"/>
  <c r="D137" i="19"/>
  <c r="D93" i="23"/>
  <c r="D138" i="19"/>
  <c r="D56" i="19"/>
  <c r="D99" i="23"/>
  <c r="D144" i="19"/>
  <c r="D62" i="19"/>
  <c r="D95" i="23"/>
  <c r="D99" i="19" s="1"/>
  <c r="D140" i="19"/>
  <c r="D58" i="19"/>
  <c r="D97" i="23"/>
  <c r="D101" i="19" s="1"/>
  <c r="D142" i="19"/>
  <c r="D60" i="19"/>
  <c r="D143" i="19"/>
  <c r="D61" i="19"/>
  <c r="D98" i="23"/>
  <c r="D132" i="19"/>
  <c r="D87" i="23"/>
  <c r="D91" i="19" s="1"/>
  <c r="D50" i="19"/>
  <c r="D141" i="19"/>
  <c r="D96" i="23"/>
  <c r="D100" i="19" s="1"/>
  <c r="D59" i="19"/>
  <c r="D135" i="19"/>
  <c r="D53" i="19"/>
  <c r="D90" i="23"/>
  <c r="D89" i="23"/>
  <c r="D134" i="19"/>
  <c r="D52" i="19"/>
  <c r="D139" i="19"/>
  <c r="D57" i="19"/>
  <c r="D94" i="23"/>
  <c r="D98" i="19" s="1"/>
  <c r="F220" i="25"/>
  <c r="E21" i="19"/>
  <c r="F145" i="19"/>
  <c r="F172" i="18"/>
  <c r="E101" i="19"/>
  <c r="E100" i="19"/>
  <c r="U19" i="19"/>
  <c r="E99" i="19"/>
  <c r="U14" i="19"/>
  <c r="U15" i="19"/>
  <c r="E98" i="19"/>
  <c r="V9" i="19"/>
  <c r="D9" i="19"/>
  <c r="U13" i="19"/>
  <c r="F92" i="19"/>
  <c r="U10" i="19"/>
  <c r="F63" i="19"/>
  <c r="U17" i="19"/>
  <c r="E95" i="19"/>
  <c r="E96" i="19"/>
  <c r="E97" i="19"/>
  <c r="E103" i="19"/>
  <c r="E102" i="19"/>
  <c r="E93" i="19"/>
  <c r="U8" i="19"/>
  <c r="U16" i="19"/>
  <c r="U20" i="19"/>
  <c r="U11" i="19"/>
  <c r="E94" i="19"/>
  <c r="E91" i="19"/>
  <c r="U18" i="19"/>
  <c r="U12" i="19"/>
  <c r="D100" i="25"/>
  <c r="E128" i="25"/>
  <c r="D205" i="25"/>
  <c r="E53" i="25"/>
  <c r="E98" i="25"/>
  <c r="E68" i="25"/>
  <c r="E40" i="25"/>
  <c r="D25" i="25"/>
  <c r="E203" i="25"/>
  <c r="D130" i="25"/>
  <c r="D190" i="25"/>
  <c r="E113" i="25"/>
  <c r="D55" i="25"/>
  <c r="E188" i="25"/>
  <c r="D70" i="25"/>
  <c r="E173" i="25"/>
  <c r="D115" i="25"/>
  <c r="F38" i="25"/>
  <c r="D175" i="25"/>
  <c r="D145" i="25"/>
  <c r="E143" i="25"/>
  <c r="E23" i="25"/>
  <c r="D160" i="25"/>
  <c r="E83" i="25"/>
  <c r="E158" i="25"/>
  <c r="D133" i="19" l="1"/>
  <c r="D88" i="23"/>
  <c r="D92" i="19" s="1"/>
  <c r="D51" i="19"/>
  <c r="F218" i="25"/>
  <c r="E220" i="25"/>
  <c r="E145" i="19"/>
  <c r="D21" i="19"/>
  <c r="E92" i="19"/>
  <c r="D96" i="19"/>
  <c r="T15" i="19"/>
  <c r="U9" i="19"/>
  <c r="D93" i="19"/>
  <c r="D94" i="19"/>
  <c r="T10" i="19"/>
  <c r="T13" i="19"/>
  <c r="T8" i="19"/>
  <c r="T17" i="19"/>
  <c r="T19" i="19"/>
  <c r="D97" i="19"/>
  <c r="T11" i="19"/>
  <c r="T16" i="19"/>
  <c r="D103" i="19"/>
  <c r="T14" i="19"/>
  <c r="T20" i="19"/>
  <c r="T18" i="19"/>
  <c r="E63" i="19"/>
  <c r="D102" i="19"/>
  <c r="D29" i="17"/>
  <c r="F83" i="17"/>
  <c r="E83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F28" i="17"/>
  <c r="D28" i="17"/>
  <c r="F22" i="17"/>
  <c r="E22" i="17"/>
  <c r="D22" i="17"/>
  <c r="E20" i="17"/>
  <c r="E19" i="17"/>
  <c r="D19" i="17"/>
  <c r="E18" i="17"/>
  <c r="D18" i="17"/>
  <c r="E17" i="17"/>
  <c r="E16" i="17"/>
  <c r="E15" i="17"/>
  <c r="E14" i="17"/>
  <c r="D14" i="17"/>
  <c r="D13" i="17"/>
  <c r="E12" i="17"/>
  <c r="E11" i="17"/>
  <c r="D11" i="17"/>
  <c r="E10" i="17"/>
  <c r="D10" i="17"/>
  <c r="E9" i="17"/>
  <c r="E8" i="17"/>
  <c r="D8" i="17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D155" i="8"/>
  <c r="F154" i="8"/>
  <c r="E154" i="8"/>
  <c r="D154" i="8"/>
  <c r="F153" i="8"/>
  <c r="E153" i="8"/>
  <c r="D153" i="8"/>
  <c r="F152" i="8"/>
  <c r="E152" i="8"/>
  <c r="D152" i="8"/>
  <c r="F151" i="8"/>
  <c r="E151" i="8"/>
  <c r="D151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43" i="25"/>
  <c r="F67" i="26"/>
  <c r="D53" i="25"/>
  <c r="D202" i="26"/>
  <c r="F187" i="26"/>
  <c r="F52" i="26"/>
  <c r="E127" i="26"/>
  <c r="F157" i="26"/>
  <c r="F142" i="26"/>
  <c r="D23" i="25"/>
  <c r="D7" i="26"/>
  <c r="D188" i="25"/>
  <c r="E37" i="26"/>
  <c r="D157" i="26"/>
  <c r="F82" i="26"/>
  <c r="F7" i="26"/>
  <c r="E82" i="26"/>
  <c r="D172" i="26"/>
  <c r="D98" i="25"/>
  <c r="D173" i="25"/>
  <c r="E157" i="26"/>
  <c r="F172" i="26"/>
  <c r="E67" i="26"/>
  <c r="D52" i="26"/>
  <c r="E142" i="26"/>
  <c r="D113" i="25"/>
  <c r="E52" i="26"/>
  <c r="E97" i="26"/>
  <c r="D112" i="26"/>
  <c r="E22" i="26"/>
  <c r="D40" i="25"/>
  <c r="D97" i="26"/>
  <c r="E38" i="25"/>
  <c r="D203" i="25"/>
  <c r="F37" i="26"/>
  <c r="D187" i="26"/>
  <c r="E202" i="26"/>
  <c r="F112" i="26"/>
  <c r="D82" i="26"/>
  <c r="F127" i="26"/>
  <c r="E112" i="26"/>
  <c r="D37" i="26"/>
  <c r="E172" i="26"/>
  <c r="D67" i="26"/>
  <c r="E187" i="26"/>
  <c r="D127" i="26"/>
  <c r="F202" i="26"/>
  <c r="D142" i="26"/>
  <c r="F97" i="26"/>
  <c r="D22" i="26"/>
  <c r="D128" i="25"/>
  <c r="D158" i="25"/>
  <c r="D68" i="25"/>
  <c r="F22" i="26"/>
  <c r="E134" i="17" l="1"/>
  <c r="E52" i="17"/>
  <c r="E69" i="23"/>
  <c r="E67" i="23"/>
  <c r="E50" i="17"/>
  <c r="E132" i="17"/>
  <c r="E141" i="17"/>
  <c r="E59" i="17"/>
  <c r="E76" i="23"/>
  <c r="E133" i="17"/>
  <c r="E51" i="17"/>
  <c r="E68" i="23"/>
  <c r="E70" i="23"/>
  <c r="E135" i="17"/>
  <c r="E53" i="17"/>
  <c r="E138" i="17"/>
  <c r="E56" i="17"/>
  <c r="E73" i="23"/>
  <c r="E79" i="23"/>
  <c r="E144" i="17"/>
  <c r="E62" i="17"/>
  <c r="E75" i="23"/>
  <c r="E140" i="17"/>
  <c r="E58" i="17"/>
  <c r="E78" i="23"/>
  <c r="E143" i="17"/>
  <c r="E61" i="17"/>
  <c r="E71" i="23"/>
  <c r="E136" i="17"/>
  <c r="E54" i="17"/>
  <c r="E139" i="17"/>
  <c r="E57" i="17"/>
  <c r="E74" i="23"/>
  <c r="E142" i="17"/>
  <c r="E60" i="17"/>
  <c r="E77" i="23"/>
  <c r="D67" i="23"/>
  <c r="D132" i="17"/>
  <c r="D50" i="17"/>
  <c r="D78" i="23"/>
  <c r="D143" i="17"/>
  <c r="D61" i="17"/>
  <c r="D135" i="17"/>
  <c r="D53" i="17"/>
  <c r="D70" i="23"/>
  <c r="D138" i="17"/>
  <c r="D56" i="17"/>
  <c r="D73" i="23"/>
  <c r="D77" i="23"/>
  <c r="D142" i="17"/>
  <c r="D60" i="17"/>
  <c r="D72" i="23"/>
  <c r="D55" i="17"/>
  <c r="D137" i="17"/>
  <c r="D69" i="23"/>
  <c r="D134" i="17"/>
  <c r="D52" i="17"/>
  <c r="E218" i="25"/>
  <c r="D220" i="25"/>
  <c r="D145" i="19"/>
  <c r="F217" i="26"/>
  <c r="D217" i="26"/>
  <c r="E97" i="3"/>
  <c r="D100" i="3"/>
  <c r="F102" i="3"/>
  <c r="E105" i="3"/>
  <c r="D108" i="3"/>
  <c r="D97" i="3"/>
  <c r="F99" i="3"/>
  <c r="E102" i="3"/>
  <c r="D105" i="3"/>
  <c r="F107" i="3"/>
  <c r="F96" i="3"/>
  <c r="D98" i="3"/>
  <c r="E99" i="3"/>
  <c r="F100" i="3"/>
  <c r="D102" i="3"/>
  <c r="E103" i="3"/>
  <c r="F104" i="3"/>
  <c r="D106" i="3"/>
  <c r="E107" i="3"/>
  <c r="F108" i="3"/>
  <c r="F95" i="3"/>
  <c r="F98" i="3"/>
  <c r="E101" i="3"/>
  <c r="D104" i="3"/>
  <c r="F106" i="3"/>
  <c r="D95" i="3"/>
  <c r="E98" i="3"/>
  <c r="D101" i="3"/>
  <c r="F103" i="3"/>
  <c r="E106" i="3"/>
  <c r="E96" i="3"/>
  <c r="F97" i="3"/>
  <c r="D99" i="3"/>
  <c r="E100" i="3"/>
  <c r="F101" i="3"/>
  <c r="D103" i="3"/>
  <c r="E104" i="3"/>
  <c r="F105" i="3"/>
  <c r="D107" i="3"/>
  <c r="E108" i="3"/>
  <c r="F165" i="8"/>
  <c r="E165" i="8"/>
  <c r="T9" i="19"/>
  <c r="D63" i="19"/>
  <c r="D96" i="3"/>
  <c r="D42" i="17"/>
  <c r="D8" i="3"/>
  <c r="E10" i="3"/>
  <c r="D10" i="3"/>
  <c r="E11" i="3"/>
  <c r="D13" i="3"/>
  <c r="D17" i="17"/>
  <c r="E17" i="3"/>
  <c r="D20" i="17"/>
  <c r="E20" i="3"/>
  <c r="E28" i="17"/>
  <c r="D83" i="17"/>
  <c r="D11" i="3"/>
  <c r="E14" i="3"/>
  <c r="E18" i="3"/>
  <c r="D165" i="8"/>
  <c r="F42" i="17"/>
  <c r="D15" i="17"/>
  <c r="E15" i="3"/>
  <c r="D19" i="3"/>
  <c r="E8" i="3"/>
  <c r="D9" i="17"/>
  <c r="E9" i="3"/>
  <c r="D12" i="17"/>
  <c r="E12" i="3"/>
  <c r="D14" i="3"/>
  <c r="D16" i="17"/>
  <c r="E16" i="3"/>
  <c r="D18" i="3"/>
  <c r="E19" i="3"/>
  <c r="D111" i="8"/>
  <c r="F110" i="8"/>
  <c r="E110" i="8"/>
  <c r="E124" i="8" s="1"/>
  <c r="D110" i="8"/>
  <c r="E114" i="25"/>
  <c r="E54" i="25"/>
  <c r="D38" i="25"/>
  <c r="E69" i="25"/>
  <c r="E204" i="25"/>
  <c r="E174" i="25"/>
  <c r="D99" i="25"/>
  <c r="D174" i="25"/>
  <c r="E189" i="25"/>
  <c r="D114" i="25"/>
  <c r="D69" i="25"/>
  <c r="E39" i="25"/>
  <c r="E24" i="25"/>
  <c r="E129" i="25"/>
  <c r="D24" i="25"/>
  <c r="E159" i="25"/>
  <c r="D54" i="25"/>
  <c r="D189" i="25"/>
  <c r="E84" i="25"/>
  <c r="E144" i="25"/>
  <c r="E7" i="26"/>
  <c r="F124" i="8" l="1"/>
  <c r="D68" i="23"/>
  <c r="D133" i="17"/>
  <c r="D51" i="17"/>
  <c r="D79" i="23"/>
  <c r="D144" i="17"/>
  <c r="D62" i="17"/>
  <c r="D57" i="17"/>
  <c r="D74" i="23"/>
  <c r="D139" i="17"/>
  <c r="D75" i="23"/>
  <c r="D140" i="17"/>
  <c r="D58" i="17"/>
  <c r="D71" i="23"/>
  <c r="D136" i="17"/>
  <c r="D54" i="17"/>
  <c r="D76" i="23"/>
  <c r="D141" i="17"/>
  <c r="D59" i="17"/>
  <c r="D218" i="25"/>
  <c r="F109" i="3"/>
  <c r="E217" i="26"/>
  <c r="D109" i="3"/>
  <c r="E95" i="3"/>
  <c r="E109" i="3" s="1"/>
  <c r="E42" i="17"/>
  <c r="D12" i="3"/>
  <c r="D15" i="3"/>
  <c r="D124" i="8"/>
  <c r="D17" i="3"/>
  <c r="D16" i="3"/>
  <c r="D9" i="3"/>
  <c r="D20" i="3"/>
  <c r="E157" i="25"/>
  <c r="D144" i="25"/>
  <c r="E202" i="25"/>
  <c r="E37" i="25"/>
  <c r="D129" i="25"/>
  <c r="E187" i="25"/>
  <c r="D52" i="25"/>
  <c r="D22" i="25"/>
  <c r="D204" i="25"/>
  <c r="D172" i="25"/>
  <c r="E172" i="25"/>
  <c r="E52" i="25"/>
  <c r="E127" i="25"/>
  <c r="D84" i="25"/>
  <c r="D97" i="25"/>
  <c r="D39" i="25"/>
  <c r="D187" i="25"/>
  <c r="D159" i="25"/>
  <c r="E82" i="25"/>
  <c r="E67" i="25"/>
  <c r="E142" i="25"/>
  <c r="E112" i="25"/>
  <c r="D67" i="25"/>
  <c r="D112" i="25"/>
  <c r="E22" i="25"/>
  <c r="D144" i="8" l="1"/>
  <c r="D140" i="8"/>
  <c r="D139" i="8"/>
  <c r="D141" i="8"/>
  <c r="D133" i="8"/>
  <c r="T9" i="17"/>
  <c r="D82" i="25"/>
  <c r="D202" i="25"/>
  <c r="D127" i="25"/>
  <c r="D157" i="25"/>
  <c r="D37" i="25"/>
  <c r="D142" i="25"/>
  <c r="F82" i="8" l="1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E62" i="8"/>
  <c r="D62" i="8"/>
  <c r="E61" i="8"/>
  <c r="D61" i="8"/>
  <c r="E60" i="8"/>
  <c r="D60" i="8"/>
  <c r="E59" i="8"/>
  <c r="D59" i="8"/>
  <c r="E58" i="8"/>
  <c r="D58" i="8"/>
  <c r="E57" i="8"/>
  <c r="D57" i="8"/>
  <c r="E56" i="8"/>
  <c r="D56" i="8"/>
  <c r="D55" i="8"/>
  <c r="E54" i="8"/>
  <c r="D54" i="8"/>
  <c r="E53" i="8"/>
  <c r="D53" i="8" s="1"/>
  <c r="E52" i="8"/>
  <c r="D52" i="8"/>
  <c r="E51" i="8"/>
  <c r="D51" i="8"/>
  <c r="E50" i="8"/>
  <c r="D50" i="8"/>
  <c r="E83" i="8" l="1"/>
  <c r="F83" i="8"/>
  <c r="D83" i="8"/>
  <c r="F41" i="8" l="1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 l="1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 l="1"/>
  <c r="E29" i="8"/>
  <c r="D29" i="8"/>
  <c r="F28" i="8"/>
  <c r="E28" i="8"/>
  <c r="D28" i="8"/>
  <c r="E115" i="3" l="1"/>
  <c r="E42" i="8"/>
  <c r="D115" i="3"/>
  <c r="D42" i="8"/>
  <c r="F115" i="3"/>
  <c r="F42" i="8"/>
  <c r="F10" i="22" l="1"/>
  <c r="F8" i="22"/>
  <c r="E8" i="22"/>
  <c r="E233" i="25" s="1"/>
  <c r="D8" i="22"/>
  <c r="D233" i="25" s="1"/>
  <c r="F233" i="25" l="1"/>
  <c r="E10" i="22"/>
  <c r="E235" i="25" s="1"/>
  <c r="F235" i="25"/>
  <c r="D10" i="22"/>
  <c r="D235" i="25" s="1"/>
  <c r="F21" i="22"/>
  <c r="E21" i="22" l="1"/>
  <c r="E233" i="26" s="1"/>
  <c r="F233" i="26"/>
  <c r="D21" i="22"/>
  <c r="D233" i="26" s="1"/>
  <c r="F20" i="17"/>
  <c r="F20" i="10"/>
  <c r="F7" i="17"/>
  <c r="F8" i="17"/>
  <c r="F8" i="10"/>
  <c r="F9" i="17"/>
  <c r="F9" i="10"/>
  <c r="F10" i="17"/>
  <c r="F10" i="10"/>
  <c r="F11" i="17"/>
  <c r="F11" i="10"/>
  <c r="F12" i="17"/>
  <c r="F12" i="10"/>
  <c r="F13" i="17"/>
  <c r="F13" i="10"/>
  <c r="F14" i="17"/>
  <c r="F14" i="10"/>
  <c r="F15" i="17"/>
  <c r="F15" i="10"/>
  <c r="F16" i="17"/>
  <c r="F16" i="10"/>
  <c r="F17" i="17"/>
  <c r="F17" i="10"/>
  <c r="F18" i="17"/>
  <c r="F18" i="10"/>
  <c r="F19" i="17"/>
  <c r="F19" i="10"/>
  <c r="F90" i="19"/>
  <c r="E7" i="17"/>
  <c r="E90" i="19"/>
  <c r="E104" i="19" s="1"/>
  <c r="D7" i="17"/>
  <c r="D90" i="19"/>
  <c r="D104" i="19" s="1"/>
  <c r="D91" i="17"/>
  <c r="D91" i="8" s="1"/>
  <c r="D132" i="8"/>
  <c r="D8" i="10"/>
  <c r="D92" i="17"/>
  <c r="D92" i="8" s="1"/>
  <c r="D9" i="8" s="1"/>
  <c r="D9" i="10"/>
  <c r="D93" i="17"/>
  <c r="D93" i="8" s="1"/>
  <c r="D134" i="8"/>
  <c r="D10" i="10"/>
  <c r="D94" i="17"/>
  <c r="D94" i="8" s="1"/>
  <c r="D135" i="8"/>
  <c r="D11" i="10"/>
  <c r="D95" i="17"/>
  <c r="D95" i="8" s="1"/>
  <c r="D136" i="8"/>
  <c r="D12" i="10"/>
  <c r="D96" i="17"/>
  <c r="D96" i="8" s="1"/>
  <c r="D137" i="8"/>
  <c r="D13" i="10"/>
  <c r="D97" i="17"/>
  <c r="D97" i="8" s="1"/>
  <c r="D138" i="8"/>
  <c r="D14" i="10"/>
  <c r="D98" i="17"/>
  <c r="D98" i="8" s="1"/>
  <c r="D15" i="10"/>
  <c r="D99" i="17"/>
  <c r="D99" i="8" s="1"/>
  <c r="D16" i="8" s="1"/>
  <c r="D100" i="17"/>
  <c r="D100" i="8" s="1"/>
  <c r="D17" i="8" s="1"/>
  <c r="D17" i="10"/>
  <c r="D101" i="17"/>
  <c r="D101" i="8" s="1"/>
  <c r="D142" i="8"/>
  <c r="D18" i="10"/>
  <c r="D102" i="17"/>
  <c r="D102" i="8" s="1"/>
  <c r="D143" i="8"/>
  <c r="D19" i="10"/>
  <c r="D103" i="17"/>
  <c r="D103" i="8" s="1"/>
  <c r="D20" i="8" s="1"/>
  <c r="D20" i="10"/>
  <c r="F28" i="11"/>
  <c r="E91" i="17"/>
  <c r="E91" i="8" s="1"/>
  <c r="E132" i="8"/>
  <c r="E8" i="10"/>
  <c r="E92" i="17"/>
  <c r="E92" i="8" s="1"/>
  <c r="E133" i="8"/>
  <c r="E9" i="10"/>
  <c r="E93" i="17"/>
  <c r="E93" i="8" s="1"/>
  <c r="E134" i="8"/>
  <c r="E10" i="10"/>
  <c r="E94" i="17"/>
  <c r="E94" i="8" s="1"/>
  <c r="E135" i="8"/>
  <c r="E11" i="10"/>
  <c r="E95" i="17"/>
  <c r="E95" i="8" s="1"/>
  <c r="E136" i="8"/>
  <c r="E12" i="10"/>
  <c r="E13" i="17"/>
  <c r="E13" i="10"/>
  <c r="E97" i="17"/>
  <c r="E97" i="8" s="1"/>
  <c r="E138" i="8"/>
  <c r="E14" i="10"/>
  <c r="E98" i="17"/>
  <c r="E98" i="8" s="1"/>
  <c r="E139" i="8"/>
  <c r="E15" i="10"/>
  <c r="E99" i="17"/>
  <c r="E99" i="8" s="1"/>
  <c r="E140" i="8"/>
  <c r="E16" i="10"/>
  <c r="E100" i="17"/>
  <c r="E100" i="8" s="1"/>
  <c r="E141" i="8"/>
  <c r="E17" i="10"/>
  <c r="E101" i="17"/>
  <c r="E101" i="8" s="1"/>
  <c r="E142" i="8"/>
  <c r="E18" i="10"/>
  <c r="E102" i="17"/>
  <c r="E102" i="8" s="1"/>
  <c r="E143" i="8"/>
  <c r="E19" i="10"/>
  <c r="E103" i="17"/>
  <c r="E103" i="8" s="1"/>
  <c r="E144" i="8"/>
  <c r="E20" i="10"/>
  <c r="F20" i="22"/>
  <c r="F22" i="22"/>
  <c r="F23" i="22"/>
  <c r="F24" i="22"/>
  <c r="E20" i="22"/>
  <c r="E232" i="26" s="1"/>
  <c r="E22" i="22"/>
  <c r="E234" i="26" s="1"/>
  <c r="E23" i="22"/>
  <c r="E235" i="26" s="1"/>
  <c r="E24" i="22"/>
  <c r="E236" i="26" s="1"/>
  <c r="E28" i="11"/>
  <c r="D20" i="22"/>
  <c r="D232" i="26" s="1"/>
  <c r="D22" i="22"/>
  <c r="D234" i="26" s="1"/>
  <c r="D23" i="22"/>
  <c r="D235" i="26" s="1"/>
  <c r="D24" i="22"/>
  <c r="D236" i="26" s="1"/>
  <c r="D25" i="22"/>
  <c r="D237" i="26" s="1"/>
  <c r="F12" i="22"/>
  <c r="E12" i="22"/>
  <c r="E237" i="25" s="1"/>
  <c r="D12" i="22"/>
  <c r="D237" i="25" s="1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T17" i="17"/>
  <c r="T15" i="17"/>
  <c r="T12" i="17"/>
  <c r="T20" i="17"/>
  <c r="T16" i="17"/>
  <c r="U15" i="17"/>
  <c r="U11" i="17"/>
  <c r="T19" i="17"/>
  <c r="U10" i="17"/>
  <c r="U20" i="17"/>
  <c r="U17" i="17"/>
  <c r="T8" i="17"/>
  <c r="U19" i="17"/>
  <c r="T13" i="17"/>
  <c r="T10" i="17"/>
  <c r="U12" i="17"/>
  <c r="U16" i="17"/>
  <c r="U14" i="17"/>
  <c r="U18" i="17"/>
  <c r="T14" i="17"/>
  <c r="T18" i="17"/>
  <c r="U8" i="17"/>
  <c r="U9" i="17"/>
  <c r="T11" i="17"/>
  <c r="V7" i="19"/>
  <c r="V21" i="19" s="1"/>
  <c r="U7" i="19"/>
  <c r="U21" i="19" s="1"/>
  <c r="T7" i="19"/>
  <c r="D100" i="23"/>
  <c r="E100" i="23"/>
  <c r="F100" i="23"/>
  <c r="D163" i="25"/>
  <c r="F146" i="25"/>
  <c r="E178" i="25"/>
  <c r="F86" i="25"/>
  <c r="F222" i="26"/>
  <c r="F41" i="25"/>
  <c r="D101" i="25"/>
  <c r="E88" i="25"/>
  <c r="E191" i="25"/>
  <c r="E101" i="25"/>
  <c r="D116" i="25"/>
  <c r="D208" i="25"/>
  <c r="E118" i="25"/>
  <c r="D133" i="25"/>
  <c r="F116" i="25"/>
  <c r="D176" i="25"/>
  <c r="D206" i="25"/>
  <c r="F71" i="25"/>
  <c r="D161" i="25"/>
  <c r="F131" i="25"/>
  <c r="E133" i="25"/>
  <c r="E43" i="25"/>
  <c r="E41" i="25"/>
  <c r="D56" i="25"/>
  <c r="D131" i="25"/>
  <c r="F148" i="25"/>
  <c r="E71" i="25"/>
  <c r="E103" i="25"/>
  <c r="E208" i="25"/>
  <c r="F103" i="25"/>
  <c r="D178" i="25"/>
  <c r="E26" i="25"/>
  <c r="F161" i="25"/>
  <c r="D71" i="25"/>
  <c r="E116" i="25"/>
  <c r="D13" i="25"/>
  <c r="F73" i="25"/>
  <c r="D148" i="25"/>
  <c r="F28" i="25"/>
  <c r="F133" i="25"/>
  <c r="D193" i="25"/>
  <c r="E163" i="25"/>
  <c r="E176" i="25"/>
  <c r="F26" i="25"/>
  <c r="F176" i="25"/>
  <c r="E58" i="25"/>
  <c r="D86" i="25"/>
  <c r="D41" i="25"/>
  <c r="E73" i="25"/>
  <c r="E86" i="25"/>
  <c r="E222" i="26"/>
  <c r="D58" i="25"/>
  <c r="F178" i="25"/>
  <c r="F56" i="25"/>
  <c r="E56" i="25"/>
  <c r="D43" i="25"/>
  <c r="E161" i="25"/>
  <c r="D191" i="25"/>
  <c r="F58" i="25"/>
  <c r="E193" i="25"/>
  <c r="F88" i="25"/>
  <c r="F43" i="25"/>
  <c r="E13" i="25"/>
  <c r="D26" i="25"/>
  <c r="F163" i="25"/>
  <c r="F101" i="25"/>
  <c r="F206" i="25"/>
  <c r="D88" i="25"/>
  <c r="F193" i="25"/>
  <c r="E148" i="25"/>
  <c r="D73" i="25"/>
  <c r="F118" i="25"/>
  <c r="E28" i="25"/>
  <c r="D118" i="25"/>
  <c r="E206" i="25"/>
  <c r="F191" i="25"/>
  <c r="E146" i="25"/>
  <c r="E131" i="25"/>
  <c r="D103" i="25"/>
  <c r="F208" i="25"/>
  <c r="F104" i="19" l="1"/>
  <c r="T21" i="19"/>
  <c r="F141" i="17"/>
  <c r="F59" i="17"/>
  <c r="F76" i="23"/>
  <c r="F137" i="17"/>
  <c r="F55" i="17"/>
  <c r="F72" i="23"/>
  <c r="F133" i="17"/>
  <c r="F51" i="17"/>
  <c r="F68" i="23"/>
  <c r="F79" i="23"/>
  <c r="F144" i="17"/>
  <c r="F62" i="17"/>
  <c r="F142" i="17"/>
  <c r="F60" i="17"/>
  <c r="F77" i="23"/>
  <c r="F138" i="17"/>
  <c r="F56" i="17"/>
  <c r="F73" i="23"/>
  <c r="F134" i="17"/>
  <c r="F52" i="17"/>
  <c r="F69" i="23"/>
  <c r="F49" i="17"/>
  <c r="F66" i="23"/>
  <c r="F131" i="17"/>
  <c r="F61" i="17"/>
  <c r="F78" i="23"/>
  <c r="F143" i="17"/>
  <c r="F139" i="17"/>
  <c r="F74" i="23"/>
  <c r="F57" i="17"/>
  <c r="F70" i="23"/>
  <c r="F53" i="17"/>
  <c r="F135" i="17"/>
  <c r="F75" i="23"/>
  <c r="F140" i="17"/>
  <c r="F58" i="17"/>
  <c r="F71" i="23"/>
  <c r="F136" i="17"/>
  <c r="F54" i="17"/>
  <c r="F67" i="23"/>
  <c r="F132" i="17"/>
  <c r="F50" i="17"/>
  <c r="E137" i="17"/>
  <c r="E55" i="17"/>
  <c r="E72" i="23"/>
  <c r="E66" i="23"/>
  <c r="E49" i="17"/>
  <c r="E131" i="17"/>
  <c r="D66" i="23"/>
  <c r="D131" i="17"/>
  <c r="D49" i="17"/>
  <c r="F232" i="26"/>
  <c r="F236" i="26"/>
  <c r="F237" i="25"/>
  <c r="F235" i="26"/>
  <c r="F234" i="26"/>
  <c r="D149" i="25"/>
  <c r="E89" i="25"/>
  <c r="E74" i="25"/>
  <c r="E59" i="25"/>
  <c r="E44" i="25"/>
  <c r="E29" i="25"/>
  <c r="D194" i="25"/>
  <c r="D179" i="25"/>
  <c r="D164" i="25"/>
  <c r="D119" i="25"/>
  <c r="D104" i="25"/>
  <c r="D89" i="25"/>
  <c r="D74" i="25"/>
  <c r="D59" i="25"/>
  <c r="D44" i="25"/>
  <c r="D29" i="25"/>
  <c r="E209" i="25"/>
  <c r="E194" i="25"/>
  <c r="E179" i="25"/>
  <c r="E164" i="25"/>
  <c r="E149" i="25"/>
  <c r="E134" i="25"/>
  <c r="E119" i="25"/>
  <c r="D209" i="25"/>
  <c r="D134" i="25"/>
  <c r="E221" i="25"/>
  <c r="E223" i="25"/>
  <c r="F223" i="25"/>
  <c r="D221" i="25"/>
  <c r="F221" i="25"/>
  <c r="D223" i="25"/>
  <c r="F25" i="22"/>
  <c r="F17" i="3"/>
  <c r="F20" i="3"/>
  <c r="F16" i="3"/>
  <c r="F12" i="3"/>
  <c r="F15" i="3"/>
  <c r="F8" i="3"/>
  <c r="F14" i="3"/>
  <c r="F10" i="3"/>
  <c r="E96" i="17"/>
  <c r="E96" i="8" s="1"/>
  <c r="D15" i="8"/>
  <c r="D15" i="16" s="1"/>
  <c r="E20" i="8"/>
  <c r="E20" i="16" s="1"/>
  <c r="E19" i="8"/>
  <c r="E39" i="3" s="1"/>
  <c r="E18" i="8"/>
  <c r="E18" i="16" s="1"/>
  <c r="E10" i="8"/>
  <c r="E10" i="16" s="1"/>
  <c r="E9" i="8"/>
  <c r="E9" i="16" s="1"/>
  <c r="E8" i="8"/>
  <c r="E8" i="16" s="1"/>
  <c r="D19" i="8"/>
  <c r="D19" i="16" s="1"/>
  <c r="D12" i="8"/>
  <c r="D12" i="16" s="1"/>
  <c r="E16" i="8"/>
  <c r="E36" i="3" s="1"/>
  <c r="E15" i="8"/>
  <c r="E35" i="3" s="1"/>
  <c r="F11" i="3"/>
  <c r="F129" i="3"/>
  <c r="F18" i="3"/>
  <c r="E21" i="12"/>
  <c r="E17" i="8"/>
  <c r="E37" i="3" s="1"/>
  <c r="E21" i="17"/>
  <c r="E11" i="8"/>
  <c r="E31" i="3" s="1"/>
  <c r="E129" i="3"/>
  <c r="E14" i="8"/>
  <c r="E14" i="16" s="1"/>
  <c r="E13" i="3"/>
  <c r="E12" i="8"/>
  <c r="E12" i="16" s="1"/>
  <c r="D14" i="8"/>
  <c r="D14" i="16" s="1"/>
  <c r="D13" i="8"/>
  <c r="D13" i="16" s="1"/>
  <c r="D8" i="8"/>
  <c r="D28" i="3" s="1"/>
  <c r="D18" i="8"/>
  <c r="D38" i="3" s="1"/>
  <c r="D21" i="12"/>
  <c r="D129" i="3"/>
  <c r="D11" i="8"/>
  <c r="D11" i="16" s="1"/>
  <c r="D10" i="8"/>
  <c r="D30" i="3" s="1"/>
  <c r="E21" i="10"/>
  <c r="D21" i="10"/>
  <c r="F21" i="12"/>
  <c r="F21" i="10"/>
  <c r="F19" i="3"/>
  <c r="F13" i="3"/>
  <c r="F9" i="3"/>
  <c r="F7" i="3"/>
  <c r="F21" i="17"/>
  <c r="E7" i="3"/>
  <c r="E25" i="22"/>
  <c r="E237" i="26" s="1"/>
  <c r="D17" i="16"/>
  <c r="D37" i="3"/>
  <c r="D9" i="16"/>
  <c r="D29" i="3"/>
  <c r="D40" i="3"/>
  <c r="D20" i="16"/>
  <c r="D16" i="16"/>
  <c r="D36" i="3"/>
  <c r="D7" i="3"/>
  <c r="D21" i="3" s="1"/>
  <c r="D21" i="17"/>
  <c r="F159" i="25"/>
  <c r="F174" i="25"/>
  <c r="F69" i="25"/>
  <c r="E99" i="25"/>
  <c r="F9" i="25"/>
  <c r="D9" i="25"/>
  <c r="F129" i="25"/>
  <c r="F54" i="25"/>
  <c r="F144" i="25"/>
  <c r="F114" i="25"/>
  <c r="F39" i="25"/>
  <c r="F84" i="25"/>
  <c r="F189" i="25"/>
  <c r="F204" i="25"/>
  <c r="E9" i="25"/>
  <c r="F24" i="25"/>
  <c r="F99" i="25"/>
  <c r="E11" i="22" l="1"/>
  <c r="E236" i="25" s="1"/>
  <c r="E13" i="22"/>
  <c r="E238" i="25" s="1"/>
  <c r="F237" i="26"/>
  <c r="F11" i="22"/>
  <c r="F13" i="22"/>
  <c r="F238" i="25" s="1"/>
  <c r="D11" i="22"/>
  <c r="D236" i="25" s="1"/>
  <c r="D13" i="22"/>
  <c r="D238" i="25" s="1"/>
  <c r="E219" i="25"/>
  <c r="F219" i="25"/>
  <c r="D219" i="25"/>
  <c r="D35" i="3"/>
  <c r="E19" i="16"/>
  <c r="E38" i="3"/>
  <c r="E34" i="3"/>
  <c r="E137" i="8"/>
  <c r="E40" i="3"/>
  <c r="E28" i="3"/>
  <c r="E30" i="3"/>
  <c r="E17" i="16"/>
  <c r="E29" i="3"/>
  <c r="D39" i="3"/>
  <c r="D33" i="3"/>
  <c r="E32" i="3"/>
  <c r="E11" i="16"/>
  <c r="D32" i="3"/>
  <c r="E15" i="16"/>
  <c r="E16" i="16"/>
  <c r="D34" i="3"/>
  <c r="E21" i="3"/>
  <c r="D8" i="16"/>
  <c r="D31" i="3"/>
  <c r="D10" i="16"/>
  <c r="D18" i="16"/>
  <c r="V10" i="17"/>
  <c r="F52" i="8"/>
  <c r="V13" i="17"/>
  <c r="F55" i="8"/>
  <c r="F49" i="8"/>
  <c r="V7" i="17"/>
  <c r="F63" i="17"/>
  <c r="F94" i="17"/>
  <c r="V15" i="17"/>
  <c r="F57" i="8"/>
  <c r="F91" i="17"/>
  <c r="F138" i="8"/>
  <c r="F140" i="8"/>
  <c r="F92" i="17"/>
  <c r="F136" i="8"/>
  <c r="F90" i="17"/>
  <c r="F80" i="23"/>
  <c r="F144" i="8"/>
  <c r="F98" i="17"/>
  <c r="F141" i="8"/>
  <c r="F143" i="8"/>
  <c r="F97" i="17"/>
  <c r="F100" i="17"/>
  <c r="F132" i="8"/>
  <c r="F134" i="8"/>
  <c r="V16" i="17"/>
  <c r="F58" i="8"/>
  <c r="F133" i="8"/>
  <c r="F96" i="17"/>
  <c r="F54" i="8"/>
  <c r="V12" i="17"/>
  <c r="F142" i="8"/>
  <c r="F62" i="8"/>
  <c r="V20" i="17"/>
  <c r="F135" i="8"/>
  <c r="V17" i="17"/>
  <c r="F59" i="8"/>
  <c r="V19" i="17"/>
  <c r="F61" i="8"/>
  <c r="F99" i="17"/>
  <c r="F60" i="8"/>
  <c r="V18" i="17"/>
  <c r="F50" i="8"/>
  <c r="V8" i="17"/>
  <c r="F93" i="17"/>
  <c r="F56" i="8"/>
  <c r="V14" i="17"/>
  <c r="V9" i="17"/>
  <c r="F51" i="8"/>
  <c r="F137" i="8"/>
  <c r="F95" i="17"/>
  <c r="F101" i="17"/>
  <c r="F131" i="8"/>
  <c r="F145" i="17"/>
  <c r="F103" i="17"/>
  <c r="V11" i="17"/>
  <c r="F53" i="8"/>
  <c r="F139" i="8"/>
  <c r="F102" i="17"/>
  <c r="F21" i="3"/>
  <c r="E90" i="17"/>
  <c r="E80" i="23"/>
  <c r="E49" i="8"/>
  <c r="U7" i="17"/>
  <c r="E63" i="17"/>
  <c r="E55" i="8"/>
  <c r="U13" i="17"/>
  <c r="E131" i="8"/>
  <c r="E145" i="17"/>
  <c r="D63" i="17"/>
  <c r="D49" i="8"/>
  <c r="T7" i="17"/>
  <c r="D131" i="8"/>
  <c r="D145" i="8" s="1"/>
  <c r="D145" i="17"/>
  <c r="D90" i="17"/>
  <c r="D80" i="23"/>
  <c r="F202" i="25"/>
  <c r="F37" i="25"/>
  <c r="F112" i="25"/>
  <c r="F7" i="25"/>
  <c r="F142" i="25"/>
  <c r="F172" i="25"/>
  <c r="F97" i="25"/>
  <c r="F127" i="25"/>
  <c r="F67" i="25"/>
  <c r="E7" i="25"/>
  <c r="F187" i="25"/>
  <c r="E97" i="25"/>
  <c r="F22" i="25"/>
  <c r="F52" i="25"/>
  <c r="F82" i="25"/>
  <c r="D7" i="25"/>
  <c r="F157" i="25"/>
  <c r="F95" i="8" l="1"/>
  <c r="F12" i="8" s="1"/>
  <c r="F100" i="8"/>
  <c r="F98" i="8"/>
  <c r="F91" i="8"/>
  <c r="F8" i="8" s="1"/>
  <c r="F8" i="16" s="1"/>
  <c r="F97" i="8"/>
  <c r="F14" i="8" s="1"/>
  <c r="F34" i="3" s="1"/>
  <c r="F92" i="8"/>
  <c r="F9" i="8" s="1"/>
  <c r="F9" i="16" s="1"/>
  <c r="F103" i="8"/>
  <c r="F93" i="8"/>
  <c r="F10" i="8" s="1"/>
  <c r="F96" i="8"/>
  <c r="F13" i="8" s="1"/>
  <c r="F102" i="8"/>
  <c r="F19" i="8" s="1"/>
  <c r="F39" i="3" s="1"/>
  <c r="F101" i="8"/>
  <c r="F18" i="8" s="1"/>
  <c r="F99" i="8"/>
  <c r="F94" i="8"/>
  <c r="F11" i="8" s="1"/>
  <c r="F31" i="3" s="1"/>
  <c r="T21" i="17"/>
  <c r="F236" i="25"/>
  <c r="D9" i="22"/>
  <c r="D234" i="25" s="1"/>
  <c r="F9" i="22"/>
  <c r="F234" i="25" s="1"/>
  <c r="F164" i="25"/>
  <c r="E104" i="25"/>
  <c r="E14" i="25"/>
  <c r="E217" i="25"/>
  <c r="F194" i="25"/>
  <c r="F59" i="25"/>
  <c r="F29" i="25"/>
  <c r="F74" i="25"/>
  <c r="F134" i="25"/>
  <c r="F104" i="25"/>
  <c r="F149" i="25"/>
  <c r="F179" i="25"/>
  <c r="F14" i="25"/>
  <c r="F217" i="25"/>
  <c r="F89" i="25"/>
  <c r="F44" i="25"/>
  <c r="F209" i="25"/>
  <c r="D14" i="25"/>
  <c r="D217" i="25"/>
  <c r="F119" i="25"/>
  <c r="E13" i="8"/>
  <c r="E33" i="3" s="1"/>
  <c r="E145" i="8"/>
  <c r="D7" i="22"/>
  <c r="U21" i="17"/>
  <c r="F90" i="8"/>
  <c r="F104" i="17"/>
  <c r="F63" i="8"/>
  <c r="F145" i="8"/>
  <c r="F7" i="22"/>
  <c r="V21" i="17"/>
  <c r="E9" i="22"/>
  <c r="E234" i="25" s="1"/>
  <c r="E7" i="22"/>
  <c r="E104" i="17"/>
  <c r="E90" i="8"/>
  <c r="E104" i="8" s="1"/>
  <c r="E63" i="8"/>
  <c r="D90" i="8"/>
  <c r="D104" i="8" s="1"/>
  <c r="D104" i="17"/>
  <c r="D63" i="8"/>
  <c r="F15" i="8" l="1"/>
  <c r="F35" i="3" s="1"/>
  <c r="F104" i="8"/>
  <c r="F21" i="8" s="1"/>
  <c r="F20" i="8"/>
  <c r="F40" i="3" s="1"/>
  <c r="F17" i="8"/>
  <c r="F37" i="3" s="1"/>
  <c r="F16" i="8"/>
  <c r="F16" i="16" s="1"/>
  <c r="F14" i="22"/>
  <c r="D14" i="22"/>
  <c r="D232" i="25"/>
  <c r="D239" i="25" s="1"/>
  <c r="E224" i="25"/>
  <c r="E232" i="25"/>
  <c r="E239" i="25" s="1"/>
  <c r="F224" i="25"/>
  <c r="F232" i="25"/>
  <c r="F239" i="25" s="1"/>
  <c r="D224" i="25"/>
  <c r="E13" i="16"/>
  <c r="F29" i="3"/>
  <c r="F28" i="3"/>
  <c r="F11" i="16"/>
  <c r="F14" i="16"/>
  <c r="F19" i="16"/>
  <c r="F7" i="8"/>
  <c r="E14" i="22"/>
  <c r="E7" i="8"/>
  <c r="E27" i="3" s="1"/>
  <c r="E41" i="3" s="1"/>
  <c r="D7" i="8"/>
  <c r="D7" i="16" s="1"/>
  <c r="D21" i="16" s="1"/>
  <c r="F12" i="16"/>
  <c r="F32" i="3"/>
  <c r="F13" i="16"/>
  <c r="F33" i="3"/>
  <c r="F10" i="16"/>
  <c r="F30" i="3"/>
  <c r="F18" i="16"/>
  <c r="F38" i="3"/>
  <c r="F17" i="16"/>
  <c r="F15" i="16"/>
  <c r="F32" i="13"/>
  <c r="E32" i="13"/>
  <c r="D32" i="13"/>
  <c r="F36" i="3" l="1"/>
  <c r="F20" i="16"/>
  <c r="F40" i="12"/>
  <c r="F36" i="12"/>
  <c r="F32" i="12"/>
  <c r="F28" i="12"/>
  <c r="F33" i="12"/>
  <c r="F39" i="12"/>
  <c r="F35" i="12"/>
  <c r="F31" i="12"/>
  <c r="F41" i="12"/>
  <c r="F38" i="12"/>
  <c r="F34" i="12"/>
  <c r="F30" i="12"/>
  <c r="F37" i="12"/>
  <c r="F29" i="12"/>
  <c r="E40" i="12"/>
  <c r="E36" i="12"/>
  <c r="E32" i="12"/>
  <c r="E28" i="12"/>
  <c r="E33" i="12"/>
  <c r="E39" i="12"/>
  <c r="E35" i="12"/>
  <c r="E31" i="12"/>
  <c r="E34" i="12"/>
  <c r="E41" i="12"/>
  <c r="E29" i="12"/>
  <c r="E38" i="12"/>
  <c r="E30" i="12"/>
  <c r="E37" i="12"/>
  <c r="D38" i="12"/>
  <c r="D34" i="12"/>
  <c r="D30" i="12"/>
  <c r="D36" i="12"/>
  <c r="D28" i="12"/>
  <c r="D39" i="12"/>
  <c r="D31" i="12"/>
  <c r="D41" i="12"/>
  <c r="D37" i="12"/>
  <c r="D33" i="12"/>
  <c r="D29" i="12"/>
  <c r="D40" i="12"/>
  <c r="D32" i="12"/>
  <c r="D35" i="12"/>
  <c r="F27" i="3"/>
  <c r="F41" i="3" s="1"/>
  <c r="F7" i="16"/>
  <c r="D21" i="8"/>
  <c r="E21" i="8"/>
  <c r="E7" i="16"/>
  <c r="E21" i="16" s="1"/>
  <c r="D27" i="3"/>
  <c r="D41" i="3" s="1"/>
  <c r="F148" i="26"/>
  <c r="F118" i="26"/>
  <c r="F163" i="26"/>
  <c r="D88" i="26"/>
  <c r="E13" i="26"/>
  <c r="E103" i="26"/>
  <c r="F13" i="26"/>
  <c r="E133" i="26"/>
  <c r="F73" i="26"/>
  <c r="F103" i="26"/>
  <c r="F43" i="26"/>
  <c r="E58" i="26"/>
  <c r="F88" i="26"/>
  <c r="D28" i="26"/>
  <c r="D43" i="26"/>
  <c r="E73" i="26"/>
  <c r="E118" i="26"/>
  <c r="D193" i="26"/>
  <c r="D208" i="26"/>
  <c r="E88" i="26"/>
  <c r="E28" i="26"/>
  <c r="F28" i="26"/>
  <c r="F178" i="26"/>
  <c r="F133" i="26"/>
  <c r="F58" i="26"/>
  <c r="D133" i="26"/>
  <c r="F208" i="26"/>
  <c r="D13" i="26"/>
  <c r="E148" i="26"/>
  <c r="F193" i="26"/>
  <c r="E43" i="26"/>
  <c r="D148" i="26"/>
  <c r="D58" i="26"/>
  <c r="D163" i="26"/>
  <c r="E208" i="26"/>
  <c r="D118" i="26"/>
  <c r="D73" i="26"/>
  <c r="D103" i="26"/>
  <c r="D178" i="26"/>
  <c r="E193" i="26"/>
  <c r="E178" i="26"/>
  <c r="E163" i="26"/>
  <c r="F21" i="16" l="1"/>
  <c r="D29" i="26"/>
  <c r="D89" i="26"/>
  <c r="E14" i="26"/>
  <c r="E119" i="26"/>
  <c r="F164" i="26"/>
  <c r="F209" i="26"/>
  <c r="D74" i="26"/>
  <c r="D119" i="26"/>
  <c r="E194" i="26"/>
  <c r="F74" i="26"/>
  <c r="F59" i="26"/>
  <c r="D14" i="26"/>
  <c r="D104" i="26"/>
  <c r="D59" i="26"/>
  <c r="E179" i="26"/>
  <c r="E134" i="26"/>
  <c r="E164" i="26"/>
  <c r="E209" i="26"/>
  <c r="F44" i="26"/>
  <c r="F134" i="26"/>
  <c r="F89" i="26"/>
  <c r="D134" i="26"/>
  <c r="D179" i="26"/>
  <c r="E89" i="26"/>
  <c r="F194" i="26"/>
  <c r="F179" i="26"/>
  <c r="D44" i="26"/>
  <c r="D164" i="26"/>
  <c r="E104" i="26"/>
  <c r="E29" i="26"/>
  <c r="F104" i="26"/>
  <c r="F149" i="26"/>
  <c r="D149" i="26"/>
  <c r="D194" i="26"/>
  <c r="D209" i="26"/>
  <c r="E59" i="26"/>
  <c r="E74" i="26"/>
  <c r="E44" i="26"/>
  <c r="E149" i="26"/>
  <c r="F119" i="26"/>
  <c r="F14" i="26"/>
  <c r="F29" i="26"/>
  <c r="E223" i="26"/>
  <c r="D223" i="26"/>
  <c r="F223" i="26"/>
  <c r="F42" i="12"/>
  <c r="E42" i="12"/>
  <c r="D42" i="12"/>
  <c r="E224" i="26" l="1"/>
  <c r="F224" i="26"/>
  <c r="D224" i="26"/>
  <c r="F26" i="22"/>
  <c r="F27" i="16"/>
  <c r="E26" i="22"/>
  <c r="E27" i="22" s="1"/>
  <c r="E27" i="16"/>
  <c r="D27" i="16"/>
  <c r="D26" i="22"/>
  <c r="D27" i="22" s="1"/>
  <c r="F27" i="22" l="1"/>
  <c r="F238" i="26"/>
  <c r="F239" i="26" s="1"/>
  <c r="E238" i="26"/>
  <c r="E239" i="26" s="1"/>
  <c r="D238" i="26"/>
  <c r="D239" i="26" s="1"/>
  <c r="M34" i="23" l="1"/>
  <c r="L32" i="23"/>
  <c r="M30" i="23" l="1"/>
  <c r="M36" i="23"/>
  <c r="M32" i="23"/>
  <c r="M39" i="23"/>
  <c r="M38" i="23"/>
  <c r="M37" i="23"/>
  <c r="M40" i="23"/>
  <c r="M28" i="23"/>
  <c r="L34" i="23"/>
  <c r="L30" i="23"/>
  <c r="L40" i="23"/>
  <c r="L36" i="23"/>
  <c r="L38" i="23"/>
  <c r="L28" i="23"/>
  <c r="K28" i="23"/>
  <c r="K32" i="23"/>
  <c r="K34" i="23"/>
  <c r="J37" i="23"/>
  <c r="J39" i="23"/>
  <c r="K36" i="23"/>
  <c r="J27" i="23"/>
  <c r="K30" i="23"/>
  <c r="K37" i="23"/>
  <c r="K39" i="23"/>
  <c r="N30" i="23"/>
  <c r="N34" i="23"/>
  <c r="N39" i="23"/>
  <c r="N32" i="23"/>
  <c r="N31" i="23"/>
  <c r="N33" i="23"/>
  <c r="N40" i="23"/>
  <c r="N29" i="23"/>
  <c r="N38" i="23"/>
  <c r="N28" i="23"/>
  <c r="N35" i="23"/>
  <c r="N36" i="23"/>
  <c r="N37" i="23"/>
  <c r="G15" i="23" l="1"/>
  <c r="G36" i="23" s="1"/>
  <c r="H15" i="23"/>
  <c r="H36" i="23" s="1"/>
  <c r="H19" i="23"/>
  <c r="H40" i="23" s="1"/>
  <c r="G19" i="23"/>
  <c r="G40" i="23" s="1"/>
  <c r="H17" i="23"/>
  <c r="H38" i="23" s="1"/>
  <c r="G17" i="23"/>
  <c r="G38" i="23" s="1"/>
  <c r="H9" i="23"/>
  <c r="H30" i="23" s="1"/>
  <c r="G9" i="23"/>
  <c r="G30" i="23" s="1"/>
  <c r="G13" i="23"/>
  <c r="G34" i="23" s="1"/>
  <c r="H13" i="23"/>
  <c r="H34" i="23" s="1"/>
  <c r="G7" i="23"/>
  <c r="G28" i="23" s="1"/>
  <c r="H7" i="23"/>
  <c r="H28" i="23" s="1"/>
  <c r="G16" i="23"/>
  <c r="G37" i="23" s="1"/>
  <c r="H16" i="23"/>
  <c r="H37" i="23" s="1"/>
  <c r="H11" i="23"/>
  <c r="H32" i="23" s="1"/>
  <c r="G11" i="23"/>
  <c r="G32" i="23" s="1"/>
  <c r="H6" i="23"/>
  <c r="H27" i="23" s="1"/>
  <c r="G6" i="23"/>
  <c r="G27" i="23" s="1"/>
  <c r="G18" i="23"/>
  <c r="G39" i="23" s="1"/>
  <c r="H18" i="23"/>
  <c r="H39" i="23" s="1"/>
  <c r="M29" i="23"/>
  <c r="M31" i="23"/>
  <c r="M33" i="23"/>
  <c r="M27" i="23"/>
  <c r="M35" i="23"/>
  <c r="L37" i="23"/>
  <c r="L39" i="23"/>
  <c r="L27" i="23"/>
  <c r="J34" i="23"/>
  <c r="K27" i="23"/>
  <c r="K38" i="23"/>
  <c r="K40" i="23"/>
  <c r="J30" i="23"/>
  <c r="J36" i="23"/>
  <c r="J32" i="23"/>
  <c r="E11" i="23"/>
  <c r="E32" i="23" s="1"/>
  <c r="F11" i="23"/>
  <c r="F32" i="23" s="1"/>
  <c r="I32" i="23"/>
  <c r="K74" i="19" s="1"/>
  <c r="F9" i="23"/>
  <c r="F30" i="23" s="1"/>
  <c r="E9" i="23"/>
  <c r="E30" i="23" s="1"/>
  <c r="I30" i="23"/>
  <c r="L72" i="17" s="1"/>
  <c r="F6" i="23"/>
  <c r="E6" i="23"/>
  <c r="I27" i="23"/>
  <c r="J69" i="17" s="1"/>
  <c r="F13" i="23"/>
  <c r="F34" i="23" s="1"/>
  <c r="E13" i="23"/>
  <c r="E34" i="23" s="1"/>
  <c r="I34" i="23"/>
  <c r="N76" i="17" s="1"/>
  <c r="F18" i="23"/>
  <c r="F39" i="23" s="1"/>
  <c r="E18" i="23"/>
  <c r="E39" i="23" s="1"/>
  <c r="I39" i="23"/>
  <c r="N81" i="17" s="1"/>
  <c r="F15" i="23"/>
  <c r="F36" i="23" s="1"/>
  <c r="E15" i="23"/>
  <c r="E36" i="23" s="1"/>
  <c r="I36" i="23"/>
  <c r="N78" i="17" s="1"/>
  <c r="E7" i="23"/>
  <c r="E28" i="23" s="1"/>
  <c r="F7" i="23"/>
  <c r="F28" i="23" s="1"/>
  <c r="I28" i="23"/>
  <c r="K70" i="17" s="1"/>
  <c r="E19" i="23"/>
  <c r="E40" i="23" s="1"/>
  <c r="F19" i="23"/>
  <c r="F40" i="23" s="1"/>
  <c r="I40" i="23"/>
  <c r="M82" i="17" s="1"/>
  <c r="F16" i="23"/>
  <c r="F37" i="23" s="1"/>
  <c r="E16" i="23"/>
  <c r="E37" i="23" s="1"/>
  <c r="I37" i="23"/>
  <c r="J79" i="17" s="1"/>
  <c r="F17" i="23"/>
  <c r="F38" i="23" s="1"/>
  <c r="E17" i="23"/>
  <c r="E38" i="23" s="1"/>
  <c r="I38" i="23"/>
  <c r="L80" i="17" s="1"/>
  <c r="N20" i="23"/>
  <c r="N27" i="23"/>
  <c r="K69" i="17" l="1"/>
  <c r="K69" i="19"/>
  <c r="L79" i="17"/>
  <c r="L79" i="19"/>
  <c r="M80" i="19"/>
  <c r="L82" i="19"/>
  <c r="J81" i="19"/>
  <c r="N74" i="19"/>
  <c r="M78" i="19"/>
  <c r="L78" i="19"/>
  <c r="K78" i="19"/>
  <c r="N72" i="19"/>
  <c r="N80" i="19"/>
  <c r="M74" i="19"/>
  <c r="L76" i="19"/>
  <c r="K76" i="19"/>
  <c r="N76" i="19"/>
  <c r="N70" i="19"/>
  <c r="M81" i="19"/>
  <c r="L70" i="19"/>
  <c r="J69" i="19"/>
  <c r="N82" i="19"/>
  <c r="J72" i="17"/>
  <c r="J72" i="19"/>
  <c r="J76" i="17"/>
  <c r="J76" i="19"/>
  <c r="M80" i="17"/>
  <c r="L82" i="17"/>
  <c r="J81" i="17"/>
  <c r="N74" i="17"/>
  <c r="M78" i="17"/>
  <c r="L78" i="17"/>
  <c r="K78" i="17"/>
  <c r="N72" i="17"/>
  <c r="N80" i="17"/>
  <c r="M74" i="17"/>
  <c r="L76" i="17"/>
  <c r="K76" i="17"/>
  <c r="N70" i="17"/>
  <c r="M81" i="17"/>
  <c r="L70" i="17"/>
  <c r="N82" i="17"/>
  <c r="N69" i="17"/>
  <c r="N69" i="19"/>
  <c r="M76" i="17"/>
  <c r="M76" i="19"/>
  <c r="J74" i="17"/>
  <c r="J74" i="19"/>
  <c r="K82" i="17"/>
  <c r="K82" i="19"/>
  <c r="L69" i="17"/>
  <c r="L69" i="19"/>
  <c r="M69" i="17"/>
  <c r="M69" i="19"/>
  <c r="M72" i="19"/>
  <c r="M70" i="19"/>
  <c r="K70" i="19"/>
  <c r="K72" i="19"/>
  <c r="N78" i="19"/>
  <c r="M79" i="19"/>
  <c r="K79" i="19"/>
  <c r="N79" i="19"/>
  <c r="M82" i="19"/>
  <c r="L80" i="19"/>
  <c r="K81" i="19"/>
  <c r="L72" i="19"/>
  <c r="J79" i="19"/>
  <c r="N81" i="19"/>
  <c r="L74" i="17"/>
  <c r="L74" i="19"/>
  <c r="J78" i="17"/>
  <c r="J78" i="19"/>
  <c r="K80" i="17"/>
  <c r="K80" i="19"/>
  <c r="L81" i="17"/>
  <c r="L81" i="19"/>
  <c r="M72" i="17"/>
  <c r="M70" i="17"/>
  <c r="K72" i="17"/>
  <c r="M79" i="17"/>
  <c r="K74" i="17"/>
  <c r="K79" i="17"/>
  <c r="N79" i="17"/>
  <c r="K81" i="17"/>
  <c r="M20" i="23"/>
  <c r="M41" i="23"/>
  <c r="L35" i="23"/>
  <c r="L33" i="23"/>
  <c r="L31" i="23"/>
  <c r="J28" i="23"/>
  <c r="J40" i="23"/>
  <c r="J38" i="23"/>
  <c r="F27" i="23"/>
  <c r="E27" i="23"/>
  <c r="N41" i="23"/>
  <c r="N79" i="8" l="1"/>
  <c r="J80" i="17"/>
  <c r="J80" i="19"/>
  <c r="J70" i="17"/>
  <c r="J70" i="19"/>
  <c r="J82" i="17"/>
  <c r="J82" i="19"/>
  <c r="J72" i="8"/>
  <c r="N74" i="8"/>
  <c r="N81" i="8"/>
  <c r="K76" i="8"/>
  <c r="N78" i="8"/>
  <c r="K72" i="8"/>
  <c r="N80" i="8"/>
  <c r="N72" i="8"/>
  <c r="N82" i="8"/>
  <c r="N70" i="8"/>
  <c r="N76" i="8"/>
  <c r="I69" i="8"/>
  <c r="K74" i="8"/>
  <c r="K82" i="8"/>
  <c r="L79" i="8"/>
  <c r="L80" i="8"/>
  <c r="M79" i="8"/>
  <c r="I76" i="8"/>
  <c r="K78" i="8"/>
  <c r="K70" i="8"/>
  <c r="I74" i="8"/>
  <c r="L81" i="8"/>
  <c r="I70" i="8"/>
  <c r="M76" i="8"/>
  <c r="M70" i="8"/>
  <c r="L70" i="8" s="1"/>
  <c r="L82" i="8"/>
  <c r="L76" i="8"/>
  <c r="K81" i="8"/>
  <c r="K79" i="8"/>
  <c r="J74" i="8"/>
  <c r="J78" i="8"/>
  <c r="I79" i="8"/>
  <c r="L29" i="23"/>
  <c r="L20" i="23"/>
  <c r="L72" i="8"/>
  <c r="K33" i="23"/>
  <c r="K35" i="23"/>
  <c r="K31" i="23"/>
  <c r="J76" i="8"/>
  <c r="M74" i="8"/>
  <c r="L74" i="8" s="1"/>
  <c r="L78" i="8"/>
  <c r="I81" i="8"/>
  <c r="M78" i="8"/>
  <c r="I72" i="8"/>
  <c r="M81" i="8"/>
  <c r="K80" i="8"/>
  <c r="M72" i="8"/>
  <c r="M82" i="8"/>
  <c r="J81" i="8"/>
  <c r="M80" i="8"/>
  <c r="I80" i="8"/>
  <c r="I78" i="8"/>
  <c r="J79" i="8"/>
  <c r="J82" i="8" l="1"/>
  <c r="I82" i="8" s="1"/>
  <c r="J80" i="8"/>
  <c r="J70" i="8"/>
  <c r="L41" i="23"/>
  <c r="N69" i="8"/>
  <c r="K29" i="23"/>
  <c r="K20" i="23"/>
  <c r="J31" i="23"/>
  <c r="J35" i="23"/>
  <c r="J33" i="23"/>
  <c r="K69" i="8"/>
  <c r="J69" i="8"/>
  <c r="L69" i="8"/>
  <c r="M69" i="8"/>
  <c r="K41" i="23" l="1"/>
  <c r="J29" i="23"/>
  <c r="J20" i="23"/>
  <c r="J41" i="23" l="1"/>
  <c r="H12" i="23"/>
  <c r="H33" i="23" s="1"/>
  <c r="G12" i="23"/>
  <c r="G33" i="23" s="1"/>
  <c r="H14" i="23"/>
  <c r="H35" i="23" s="1"/>
  <c r="G14" i="23"/>
  <c r="G35" i="23" s="1"/>
  <c r="G8" i="23"/>
  <c r="G29" i="23" s="1"/>
  <c r="H8" i="23"/>
  <c r="H29" i="23" s="1"/>
  <c r="G10" i="23"/>
  <c r="G31" i="23" s="1"/>
  <c r="H10" i="23"/>
  <c r="H31" i="23" s="1"/>
  <c r="F10" i="23"/>
  <c r="F31" i="23" s="1"/>
  <c r="E10" i="23"/>
  <c r="E31" i="23" s="1"/>
  <c r="I31" i="23"/>
  <c r="E12" i="23"/>
  <c r="E33" i="23" s="1"/>
  <c r="F12" i="23"/>
  <c r="F33" i="23" s="1"/>
  <c r="I33" i="23"/>
  <c r="F8" i="23"/>
  <c r="E8" i="23"/>
  <c r="I29" i="23"/>
  <c r="I20" i="23"/>
  <c r="F14" i="23"/>
  <c r="F35" i="23" s="1"/>
  <c r="E14" i="23"/>
  <c r="E35" i="23" s="1"/>
  <c r="I35" i="23"/>
  <c r="N77" i="17" l="1"/>
  <c r="N77" i="19"/>
  <c r="M77" i="17"/>
  <c r="M77" i="19"/>
  <c r="L77" i="17"/>
  <c r="L77" i="19"/>
  <c r="K77" i="17"/>
  <c r="K77" i="19"/>
  <c r="J77" i="17"/>
  <c r="J77" i="19"/>
  <c r="N71" i="17"/>
  <c r="N71" i="19"/>
  <c r="M71" i="17"/>
  <c r="M71" i="19"/>
  <c r="L71" i="17"/>
  <c r="L71" i="19"/>
  <c r="K71" i="17"/>
  <c r="K71" i="19"/>
  <c r="N73" i="17"/>
  <c r="N73" i="19"/>
  <c r="M73" i="17"/>
  <c r="M73" i="19"/>
  <c r="L73" i="17"/>
  <c r="L73" i="19"/>
  <c r="K73" i="17"/>
  <c r="K73" i="19"/>
  <c r="J73" i="17"/>
  <c r="J73" i="19"/>
  <c r="J71" i="19"/>
  <c r="N75" i="17"/>
  <c r="N75" i="19"/>
  <c r="M75" i="17"/>
  <c r="M75" i="19"/>
  <c r="L75" i="17"/>
  <c r="L75" i="19"/>
  <c r="K75" i="17"/>
  <c r="K75" i="19"/>
  <c r="J75" i="17"/>
  <c r="J75" i="19"/>
  <c r="J71" i="17"/>
  <c r="G41" i="23"/>
  <c r="H41" i="23"/>
  <c r="H20" i="23"/>
  <c r="G20" i="23"/>
  <c r="E29" i="23"/>
  <c r="E41" i="23" s="1"/>
  <c r="E20" i="23"/>
  <c r="F29" i="23"/>
  <c r="F20" i="23"/>
  <c r="I41" i="23"/>
  <c r="J73" i="8" l="1"/>
  <c r="I75" i="8"/>
  <c r="N77" i="8"/>
  <c r="N75" i="8"/>
  <c r="K75" i="8"/>
  <c r="I77" i="8"/>
  <c r="M73" i="8"/>
  <c r="M75" i="8"/>
  <c r="L77" i="8"/>
  <c r="K73" i="8"/>
  <c r="K77" i="8"/>
  <c r="J75" i="8"/>
  <c r="N73" i="8"/>
  <c r="L73" i="8"/>
  <c r="J77" i="8"/>
  <c r="I83" i="17"/>
  <c r="M83" i="19"/>
  <c r="J83" i="19"/>
  <c r="K83" i="19"/>
  <c r="L83" i="19"/>
  <c r="L83" i="17"/>
  <c r="N83" i="19"/>
  <c r="F41" i="23"/>
  <c r="I73" i="8"/>
  <c r="I83" i="19"/>
  <c r="M77" i="8"/>
  <c r="L75" i="8"/>
  <c r="J71" i="8" l="1"/>
  <c r="J83" i="17"/>
  <c r="K71" i="8"/>
  <c r="K83" i="8" s="1"/>
  <c r="K83" i="17"/>
  <c r="N71" i="8"/>
  <c r="N83" i="8" s="1"/>
  <c r="N83" i="17"/>
  <c r="M71" i="8"/>
  <c r="M83" i="17"/>
  <c r="I92" i="8"/>
  <c r="I80" i="23"/>
  <c r="L71" i="8" l="1"/>
  <c r="L83" i="8" s="1"/>
  <c r="M83" i="8"/>
  <c r="I71" i="8"/>
  <c r="I83" i="8" s="1"/>
  <c r="J83" i="8"/>
  <c r="I104" i="17"/>
  <c r="I93" i="8"/>
  <c r="I96" i="8"/>
  <c r="I101" i="8"/>
  <c r="I97" i="8"/>
  <c r="I99" i="8"/>
  <c r="I102" i="8"/>
  <c r="I172" i="18"/>
  <c r="I100" i="8"/>
  <c r="I112" i="8"/>
  <c r="I91" i="8"/>
  <c r="I95" i="8"/>
  <c r="I193" i="18"/>
  <c r="I103" i="8"/>
  <c r="I98" i="8"/>
  <c r="I94" i="8"/>
  <c r="I118" i="8" l="1"/>
  <c r="I123" i="8"/>
  <c r="I111" i="8"/>
  <c r="I122" i="8"/>
  <c r="I116" i="8"/>
  <c r="I121" i="8"/>
  <c r="I124" i="17"/>
  <c r="I114" i="8"/>
  <c r="I115" i="8"/>
  <c r="I119" i="8"/>
  <c r="I113" i="8"/>
  <c r="I120" i="8"/>
  <c r="I117" i="8"/>
  <c r="H129" i="3" l="1"/>
  <c r="G129" i="3" l="1"/>
  <c r="D21" i="6" l="1"/>
  <c r="J185" i="18" l="1"/>
  <c r="J96" i="19"/>
  <c r="J116" i="19" s="1"/>
  <c r="J181" i="18"/>
  <c r="J92" i="19"/>
  <c r="J112" i="19" s="1"/>
  <c r="J167" i="18"/>
  <c r="J99" i="17"/>
  <c r="J119" i="17" s="1"/>
  <c r="J186" i="18"/>
  <c r="J97" i="19"/>
  <c r="J117" i="19" s="1"/>
  <c r="J94" i="17"/>
  <c r="J114" i="17" s="1"/>
  <c r="J162" i="18"/>
  <c r="J102" i="19"/>
  <c r="J122" i="19" s="1"/>
  <c r="J191" i="18"/>
  <c r="J101" i="17"/>
  <c r="J121" i="17" s="1"/>
  <c r="J169" i="18"/>
  <c r="J95" i="17"/>
  <c r="J115" i="17" s="1"/>
  <c r="J163" i="18"/>
  <c r="J100" i="17"/>
  <c r="J120" i="17" s="1"/>
  <c r="J168" i="18"/>
  <c r="J101" i="19"/>
  <c r="J121" i="19" s="1"/>
  <c r="J190" i="18"/>
  <c r="J180" i="18"/>
  <c r="J91" i="19"/>
  <c r="J111" i="19" s="1"/>
  <c r="J189" i="18"/>
  <c r="J100" i="19"/>
  <c r="J120" i="19" s="1"/>
  <c r="J166" i="18"/>
  <c r="J98" i="17"/>
  <c r="J118" i="17" s="1"/>
  <c r="J97" i="17"/>
  <c r="J117" i="17" s="1"/>
  <c r="J165" i="18"/>
  <c r="J100" i="23"/>
  <c r="J179" i="18"/>
  <c r="J90" i="19"/>
  <c r="J110" i="19" s="1"/>
  <c r="J170" i="18"/>
  <c r="J102" i="17"/>
  <c r="J122" i="17" s="1"/>
  <c r="J103" i="19"/>
  <c r="J123" i="19" s="1"/>
  <c r="J192" i="18"/>
  <c r="J184" i="18"/>
  <c r="J95" i="19"/>
  <c r="J115" i="19" s="1"/>
  <c r="J182" i="18"/>
  <c r="J93" i="19"/>
  <c r="J113" i="19" s="1"/>
  <c r="J94" i="19"/>
  <c r="J114" i="19" s="1"/>
  <c r="J183" i="18"/>
  <c r="J96" i="17"/>
  <c r="J116" i="17" s="1"/>
  <c r="J164" i="18"/>
  <c r="J98" i="19"/>
  <c r="J118" i="19" s="1"/>
  <c r="J187" i="18"/>
  <c r="J160" i="18"/>
  <c r="J92" i="17"/>
  <c r="J112" i="17" s="1"/>
  <c r="J80" i="23"/>
  <c r="J158" i="18"/>
  <c r="J90" i="17"/>
  <c r="J110" i="17" s="1"/>
  <c r="J91" i="17"/>
  <c r="J111" i="17" s="1"/>
  <c r="J159" i="18"/>
  <c r="J103" i="17"/>
  <c r="J123" i="17" s="1"/>
  <c r="J171" i="18"/>
  <c r="J188" i="18"/>
  <c r="J99" i="19"/>
  <c r="J119" i="19" s="1"/>
  <c r="J93" i="17"/>
  <c r="J113" i="17" s="1"/>
  <c r="J161" i="18"/>
  <c r="J90" i="8" l="1"/>
  <c r="J104" i="17"/>
  <c r="J94" i="8"/>
  <c r="J93" i="8"/>
  <c r="J91" i="8"/>
  <c r="J172" i="18"/>
  <c r="J102" i="8"/>
  <c r="J97" i="8"/>
  <c r="J100" i="8"/>
  <c r="J96" i="8"/>
  <c r="J98" i="8"/>
  <c r="J95" i="8"/>
  <c r="J101" i="8"/>
  <c r="J99" i="8"/>
  <c r="J193" i="18"/>
  <c r="J103" i="8"/>
  <c r="J92" i="8"/>
  <c r="J104" i="19"/>
  <c r="J121" i="8" l="1"/>
  <c r="J119" i="8"/>
  <c r="J116" i="8"/>
  <c r="J110" i="8"/>
  <c r="J124" i="17"/>
  <c r="J120" i="8"/>
  <c r="J104" i="8"/>
  <c r="J123" i="8"/>
  <c r="J118" i="8"/>
  <c r="J122" i="8"/>
  <c r="J111" i="8"/>
  <c r="J114" i="8"/>
  <c r="J124" i="19"/>
  <c r="J112" i="8"/>
  <c r="J115" i="8"/>
  <c r="J117" i="8"/>
  <c r="J113" i="8"/>
  <c r="J124" i="8" l="1"/>
  <c r="K183" i="18" l="1"/>
  <c r="K94" i="19"/>
  <c r="K114" i="19" s="1"/>
  <c r="K180" i="18"/>
  <c r="K91" i="19"/>
  <c r="K111" i="19" s="1"/>
  <c r="K100" i="17"/>
  <c r="K120" i="17" s="1"/>
  <c r="K168" i="18"/>
  <c r="K95" i="17"/>
  <c r="K115" i="17" s="1"/>
  <c r="K163" i="18"/>
  <c r="K179" i="18"/>
  <c r="K90" i="19"/>
  <c r="K110" i="19" s="1"/>
  <c r="K100" i="23"/>
  <c r="K93" i="17"/>
  <c r="K113" i="17" s="1"/>
  <c r="K161" i="18"/>
  <c r="K101" i="17"/>
  <c r="K121" i="17" s="1"/>
  <c r="K169" i="18"/>
  <c r="K162" i="18"/>
  <c r="K94" i="17"/>
  <c r="K114" i="17" s="1"/>
  <c r="K160" i="18"/>
  <c r="K92" i="17"/>
  <c r="K112" i="17" s="1"/>
  <c r="K189" i="18"/>
  <c r="K100" i="19"/>
  <c r="K120" i="19" s="1"/>
  <c r="K80" i="23"/>
  <c r="K90" i="17"/>
  <c r="K110" i="17" s="1"/>
  <c r="K158" i="18"/>
  <c r="K187" i="18"/>
  <c r="K98" i="19"/>
  <c r="K118" i="19" s="1"/>
  <c r="K102" i="19"/>
  <c r="K122" i="19" s="1"/>
  <c r="K191" i="18"/>
  <c r="K101" i="19"/>
  <c r="K121" i="19" s="1"/>
  <c r="K190" i="18"/>
  <c r="K192" i="18"/>
  <c r="K103" i="19"/>
  <c r="K123" i="19" s="1"/>
  <c r="K186" i="18"/>
  <c r="K97" i="19"/>
  <c r="K117" i="19" s="1"/>
  <c r="K92" i="19"/>
  <c r="K112" i="19" s="1"/>
  <c r="K181" i="18"/>
  <c r="K188" i="18"/>
  <c r="K99" i="19"/>
  <c r="K119" i="19" s="1"/>
  <c r="K98" i="17"/>
  <c r="K118" i="17" s="1"/>
  <c r="K166" i="18"/>
  <c r="K96" i="17"/>
  <c r="K116" i="17" s="1"/>
  <c r="K164" i="18"/>
  <c r="K170" i="18"/>
  <c r="K102" i="17"/>
  <c r="K122" i="17" s="1"/>
  <c r="K159" i="18"/>
  <c r="K91" i="17"/>
  <c r="K111" i="17" s="1"/>
  <c r="K171" i="18"/>
  <c r="K103" i="17"/>
  <c r="K123" i="17" s="1"/>
  <c r="K97" i="17"/>
  <c r="K117" i="17" s="1"/>
  <c r="K165" i="18"/>
  <c r="K184" i="18"/>
  <c r="K95" i="19"/>
  <c r="K115" i="19" s="1"/>
  <c r="K182" i="18"/>
  <c r="K93" i="19"/>
  <c r="K113" i="19" s="1"/>
  <c r="K167" i="18"/>
  <c r="K99" i="17"/>
  <c r="K119" i="17" s="1"/>
  <c r="K185" i="18"/>
  <c r="K96" i="19"/>
  <c r="K116" i="19" s="1"/>
  <c r="K99" i="8" l="1"/>
  <c r="K103" i="8"/>
  <c r="K101" i="8"/>
  <c r="K104" i="19"/>
  <c r="K96" i="8"/>
  <c r="K94" i="8"/>
  <c r="K193" i="18"/>
  <c r="K100" i="8"/>
  <c r="K91" i="8"/>
  <c r="K102" i="8"/>
  <c r="K172" i="18"/>
  <c r="K93" i="8"/>
  <c r="K97" i="8"/>
  <c r="K98" i="8"/>
  <c r="K90" i="8"/>
  <c r="K104" i="17"/>
  <c r="K92" i="8"/>
  <c r="K95" i="8"/>
  <c r="K104" i="8" l="1"/>
  <c r="K118" i="8"/>
  <c r="K121" i="8"/>
  <c r="K112" i="8"/>
  <c r="K124" i="17"/>
  <c r="K110" i="8"/>
  <c r="K113" i="8"/>
  <c r="K124" i="19"/>
  <c r="K115" i="8"/>
  <c r="K111" i="8"/>
  <c r="K116" i="8"/>
  <c r="K119" i="8"/>
  <c r="K117" i="8"/>
  <c r="K122" i="8"/>
  <c r="K120" i="8"/>
  <c r="K114" i="8"/>
  <c r="K123" i="8"/>
  <c r="K124" i="8" l="1"/>
  <c r="L98" i="17" l="1"/>
  <c r="L118" i="17" s="1"/>
  <c r="L166" i="18"/>
  <c r="L102" i="17"/>
  <c r="L122" i="17" s="1"/>
  <c r="L170" i="18"/>
  <c r="L101" i="17"/>
  <c r="L121" i="17" s="1"/>
  <c r="L169" i="18"/>
  <c r="L181" i="18"/>
  <c r="L92" i="19"/>
  <c r="L112" i="19" s="1"/>
  <c r="L159" i="18"/>
  <c r="L91" i="17"/>
  <c r="L111" i="17" s="1"/>
  <c r="L99" i="19"/>
  <c r="L119" i="19" s="1"/>
  <c r="L188" i="18"/>
  <c r="L171" i="18"/>
  <c r="L103" i="17"/>
  <c r="L123" i="17" s="1"/>
  <c r="L162" i="18"/>
  <c r="L94" i="17"/>
  <c r="L114" i="17" s="1"/>
  <c r="L98" i="19"/>
  <c r="L118" i="19" s="1"/>
  <c r="L187" i="18"/>
  <c r="L165" i="18"/>
  <c r="L97" i="17"/>
  <c r="L117" i="17" s="1"/>
  <c r="L190" i="18"/>
  <c r="L101" i="19"/>
  <c r="L121" i="19" s="1"/>
  <c r="L189" i="18"/>
  <c r="L100" i="19"/>
  <c r="L120" i="19" s="1"/>
  <c r="L91" i="19"/>
  <c r="L111" i="19" s="1"/>
  <c r="L180" i="18"/>
  <c r="L95" i="19"/>
  <c r="L115" i="19" s="1"/>
  <c r="L184" i="18"/>
  <c r="L167" i="18"/>
  <c r="L99" i="17"/>
  <c r="L119" i="17" s="1"/>
  <c r="L183" i="18"/>
  <c r="L94" i="19"/>
  <c r="L114" i="19" s="1"/>
  <c r="L93" i="19"/>
  <c r="L113" i="19" s="1"/>
  <c r="L182" i="18"/>
  <c r="L186" i="18"/>
  <c r="L97" i="19"/>
  <c r="L117" i="19" s="1"/>
  <c r="L164" i="18"/>
  <c r="L96" i="17"/>
  <c r="L116" i="17" s="1"/>
  <c r="L100" i="17"/>
  <c r="L120" i="17" s="1"/>
  <c r="L168" i="18"/>
  <c r="L95" i="17"/>
  <c r="L115" i="17" s="1"/>
  <c r="L163" i="18"/>
  <c r="L179" i="18"/>
  <c r="L90" i="19"/>
  <c r="L110" i="19" s="1"/>
  <c r="L100" i="23"/>
  <c r="L191" i="18"/>
  <c r="L102" i="19"/>
  <c r="L122" i="19" s="1"/>
  <c r="L93" i="17"/>
  <c r="L113" i="17" s="1"/>
  <c r="L161" i="18"/>
  <c r="L92" i="17"/>
  <c r="L112" i="17" s="1"/>
  <c r="L160" i="18"/>
  <c r="L96" i="19"/>
  <c r="L116" i="19" s="1"/>
  <c r="L185" i="18"/>
  <c r="L192" i="18"/>
  <c r="L103" i="19"/>
  <c r="L123" i="19" s="1"/>
  <c r="L90" i="17"/>
  <c r="L110" i="17" s="1"/>
  <c r="L158" i="18"/>
  <c r="L80" i="23"/>
  <c r="G7" i="6" l="1"/>
  <c r="F7" i="6"/>
  <c r="I7" i="6"/>
  <c r="J7" i="10" s="1"/>
  <c r="E7" i="6"/>
  <c r="H7" i="6"/>
  <c r="F18" i="6"/>
  <c r="G18" i="6"/>
  <c r="I18" i="6"/>
  <c r="J18" i="10" s="1"/>
  <c r="H18" i="6"/>
  <c r="E18" i="6"/>
  <c r="I15" i="6"/>
  <c r="J15" i="10" s="1"/>
  <c r="E15" i="6"/>
  <c r="G15" i="6"/>
  <c r="F15" i="6"/>
  <c r="H15" i="6"/>
  <c r="I10" i="6"/>
  <c r="J10" i="10" s="1"/>
  <c r="E10" i="6"/>
  <c r="G10" i="6"/>
  <c r="F10" i="6"/>
  <c r="H10" i="6"/>
  <c r="H19" i="6"/>
  <c r="E19" i="6"/>
  <c r="G19" i="6"/>
  <c r="F19" i="6"/>
  <c r="I19" i="6"/>
  <c r="J19" i="10" s="1"/>
  <c r="F8" i="6"/>
  <c r="E8" i="6"/>
  <c r="I8" i="6"/>
  <c r="J8" i="10" s="1"/>
  <c r="G8" i="6"/>
  <c r="H8" i="6"/>
  <c r="H14" i="6"/>
  <c r="I14" i="6"/>
  <c r="J14" i="10" s="1"/>
  <c r="F14" i="6"/>
  <c r="E14" i="6"/>
  <c r="G14" i="6"/>
  <c r="I13" i="6"/>
  <c r="J13" i="10" s="1"/>
  <c r="F13" i="6"/>
  <c r="E13" i="6"/>
  <c r="H13" i="6"/>
  <c r="G13" i="6"/>
  <c r="E17" i="6"/>
  <c r="I17" i="6"/>
  <c r="J17" i="10" s="1"/>
  <c r="F17" i="6"/>
  <c r="H17" i="6"/>
  <c r="G17" i="6"/>
  <c r="F20" i="6"/>
  <c r="H20" i="6"/>
  <c r="E20" i="6"/>
  <c r="I20" i="6"/>
  <c r="J20" i="10" s="1"/>
  <c r="G20" i="6"/>
  <c r="I16" i="6"/>
  <c r="J16" i="10" s="1"/>
  <c r="E16" i="6"/>
  <c r="H16" i="6"/>
  <c r="F16" i="6"/>
  <c r="G16" i="6"/>
  <c r="J21" i="6"/>
  <c r="E9" i="6"/>
  <c r="F9" i="6"/>
  <c r="I9" i="6"/>
  <c r="J9" i="10" s="1"/>
  <c r="H9" i="6"/>
  <c r="G9" i="6"/>
  <c r="E12" i="6"/>
  <c r="G12" i="6"/>
  <c r="F12" i="6"/>
  <c r="I12" i="6"/>
  <c r="J12" i="10" s="1"/>
  <c r="H12" i="6"/>
  <c r="I11" i="6"/>
  <c r="J11" i="10" s="1"/>
  <c r="E11" i="6"/>
  <c r="F11" i="6"/>
  <c r="H11" i="6"/>
  <c r="G11" i="6"/>
  <c r="L172" i="18"/>
  <c r="L92" i="8"/>
  <c r="L93" i="8"/>
  <c r="M169" i="18"/>
  <c r="M101" i="17"/>
  <c r="M121" i="17" s="1"/>
  <c r="L193" i="18"/>
  <c r="L95" i="8"/>
  <c r="M179" i="18"/>
  <c r="M90" i="19"/>
  <c r="M110" i="19" s="1"/>
  <c r="M100" i="23"/>
  <c r="M91" i="17"/>
  <c r="M111" i="17" s="1"/>
  <c r="M159" i="18"/>
  <c r="M96" i="17"/>
  <c r="M116" i="17" s="1"/>
  <c r="M164" i="18"/>
  <c r="L91" i="8"/>
  <c r="M103" i="19"/>
  <c r="M123" i="19" s="1"/>
  <c r="M192" i="18"/>
  <c r="M100" i="19"/>
  <c r="M120" i="19" s="1"/>
  <c r="M189" i="18"/>
  <c r="L90" i="8"/>
  <c r="L104" i="17"/>
  <c r="M98" i="17"/>
  <c r="M118" i="17" s="1"/>
  <c r="M166" i="18"/>
  <c r="M190" i="18"/>
  <c r="M101" i="19"/>
  <c r="M121" i="19" s="1"/>
  <c r="M158" i="18"/>
  <c r="M90" i="17"/>
  <c r="M110" i="17" s="1"/>
  <c r="M80" i="23"/>
  <c r="M92" i="17"/>
  <c r="M112" i="17" s="1"/>
  <c r="M160" i="18"/>
  <c r="L99" i="8"/>
  <c r="L97" i="8"/>
  <c r="M191" i="18"/>
  <c r="M102" i="19"/>
  <c r="M122" i="19" s="1"/>
  <c r="M96" i="19"/>
  <c r="M116" i="19" s="1"/>
  <c r="M185" i="18"/>
  <c r="L98" i="8"/>
  <c r="M94" i="17"/>
  <c r="M114" i="17" s="1"/>
  <c r="M162" i="18"/>
  <c r="M171" i="18"/>
  <c r="M103" i="17"/>
  <c r="M123" i="17" s="1"/>
  <c r="M188" i="18"/>
  <c r="M99" i="19"/>
  <c r="M119" i="19" s="1"/>
  <c r="M98" i="19"/>
  <c r="M118" i="19" s="1"/>
  <c r="M187" i="18"/>
  <c r="L100" i="8"/>
  <c r="M163" i="18"/>
  <c r="M95" i="17"/>
  <c r="M115" i="17" s="1"/>
  <c r="M92" i="19"/>
  <c r="M112" i="19" s="1"/>
  <c r="M181" i="18"/>
  <c r="M97" i="19"/>
  <c r="M117" i="19" s="1"/>
  <c r="M186" i="18"/>
  <c r="M102" i="17"/>
  <c r="M122" i="17" s="1"/>
  <c r="M170" i="18"/>
  <c r="L103" i="8"/>
  <c r="M183" i="18"/>
  <c r="M94" i="19"/>
  <c r="M114" i="19" s="1"/>
  <c r="M182" i="18"/>
  <c r="M93" i="19"/>
  <c r="M113" i="19" s="1"/>
  <c r="M99" i="17"/>
  <c r="M119" i="17" s="1"/>
  <c r="M167" i="18"/>
  <c r="L104" i="19"/>
  <c r="L96" i="8"/>
  <c r="M180" i="18"/>
  <c r="M91" i="19"/>
  <c r="M111" i="19" s="1"/>
  <c r="M184" i="18"/>
  <c r="M95" i="19"/>
  <c r="M115" i="19" s="1"/>
  <c r="L94" i="8"/>
  <c r="M97" i="17"/>
  <c r="M117" i="17" s="1"/>
  <c r="M165" i="18"/>
  <c r="L101" i="8"/>
  <c r="L102" i="8"/>
  <c r="M100" i="17"/>
  <c r="M120" i="17" s="1"/>
  <c r="M168" i="18"/>
  <c r="M161" i="18"/>
  <c r="M93" i="17"/>
  <c r="M113" i="17" s="1"/>
  <c r="J71" i="25"/>
  <c r="J206" i="25"/>
  <c r="J161" i="25"/>
  <c r="J191" i="25"/>
  <c r="J116" i="25"/>
  <c r="J11" i="25"/>
  <c r="J86" i="25"/>
  <c r="J56" i="25"/>
  <c r="J101" i="25"/>
  <c r="J131" i="25"/>
  <c r="J146" i="25"/>
  <c r="J26" i="25"/>
  <c r="J41" i="25"/>
  <c r="I191" i="25"/>
  <c r="J176" i="25"/>
  <c r="J221" i="25" l="1"/>
  <c r="E21" i="6"/>
  <c r="H21" i="6"/>
  <c r="F21" i="6"/>
  <c r="J21" i="10"/>
  <c r="J11" i="22" s="1"/>
  <c r="G21" i="6"/>
  <c r="I21" i="6"/>
  <c r="J28" i="10" s="1"/>
  <c r="O101" i="17"/>
  <c r="O121" i="17" s="1"/>
  <c r="O94" i="17"/>
  <c r="O114" i="17" s="1"/>
  <c r="O103" i="17"/>
  <c r="O123" i="17" s="1"/>
  <c r="O100" i="17"/>
  <c r="O120" i="17" s="1"/>
  <c r="O90" i="17"/>
  <c r="O110" i="17" s="1"/>
  <c r="O98" i="17"/>
  <c r="O118" i="17" s="1"/>
  <c r="O95" i="17"/>
  <c r="O115" i="17" s="1"/>
  <c r="M93" i="8"/>
  <c r="L122" i="8"/>
  <c r="L116" i="8"/>
  <c r="N99" i="19"/>
  <c r="N119" i="19" s="1"/>
  <c r="N188" i="18"/>
  <c r="N171" i="18"/>
  <c r="N103" i="17"/>
  <c r="N123" i="17" s="1"/>
  <c r="L123" i="8"/>
  <c r="L120" i="8"/>
  <c r="N98" i="19"/>
  <c r="N118" i="19" s="1"/>
  <c r="N187" i="18"/>
  <c r="N102" i="17"/>
  <c r="N122" i="17" s="1"/>
  <c r="N170" i="18"/>
  <c r="M94" i="8"/>
  <c r="M172" i="18"/>
  <c r="M98" i="8"/>
  <c r="N97" i="17"/>
  <c r="N117" i="17" s="1"/>
  <c r="N165" i="18"/>
  <c r="N101" i="17"/>
  <c r="N121" i="17" s="1"/>
  <c r="N169" i="18"/>
  <c r="M91" i="8"/>
  <c r="M101" i="8"/>
  <c r="N168" i="18"/>
  <c r="N100" i="17"/>
  <c r="N120" i="17" s="1"/>
  <c r="N180" i="18"/>
  <c r="N91" i="19"/>
  <c r="N111" i="19" s="1"/>
  <c r="O91" i="17"/>
  <c r="O111" i="17" s="1"/>
  <c r="O93" i="17"/>
  <c r="O113" i="17" s="1"/>
  <c r="N99" i="17"/>
  <c r="N119" i="17" s="1"/>
  <c r="N167" i="18"/>
  <c r="N166" i="18"/>
  <c r="N98" i="17"/>
  <c r="N118" i="17" s="1"/>
  <c r="N163" i="18"/>
  <c r="N95" i="17"/>
  <c r="N115" i="17" s="1"/>
  <c r="M103" i="8"/>
  <c r="L119" i="8"/>
  <c r="L104" i="8"/>
  <c r="N97" i="19"/>
  <c r="N117" i="19" s="1"/>
  <c r="N186" i="18"/>
  <c r="N93" i="19"/>
  <c r="N113" i="19" s="1"/>
  <c r="N182" i="18"/>
  <c r="L111" i="8"/>
  <c r="N189" i="18"/>
  <c r="N100" i="19"/>
  <c r="N120" i="19" s="1"/>
  <c r="O97" i="17"/>
  <c r="O117" i="17" s="1"/>
  <c r="O102" i="17"/>
  <c r="O122" i="17" s="1"/>
  <c r="O99" i="17"/>
  <c r="O119" i="17" s="1"/>
  <c r="O96" i="17"/>
  <c r="O116" i="17" s="1"/>
  <c r="L114" i="8"/>
  <c r="N92" i="17"/>
  <c r="N112" i="17" s="1"/>
  <c r="N160" i="18"/>
  <c r="M102" i="8"/>
  <c r="N183" i="18"/>
  <c r="N94" i="19"/>
  <c r="N114" i="19" s="1"/>
  <c r="N184" i="18"/>
  <c r="N95" i="19"/>
  <c r="N115" i="19" s="1"/>
  <c r="L117" i="8"/>
  <c r="L110" i="8"/>
  <c r="L124" i="17"/>
  <c r="N96" i="17"/>
  <c r="N116" i="17" s="1"/>
  <c r="N164" i="18"/>
  <c r="N161" i="18"/>
  <c r="N93" i="17"/>
  <c r="N113" i="17" s="1"/>
  <c r="M104" i="19"/>
  <c r="L115" i="8"/>
  <c r="L112" i="8"/>
  <c r="N100" i="23"/>
  <c r="N90" i="19"/>
  <c r="N110" i="19" s="1"/>
  <c r="N179" i="18"/>
  <c r="O92" i="17"/>
  <c r="O112" i="17" s="1"/>
  <c r="M100" i="8"/>
  <c r="L121" i="8"/>
  <c r="M97" i="8"/>
  <c r="L124" i="19"/>
  <c r="M99" i="8"/>
  <c r="N103" i="19"/>
  <c r="N123" i="19" s="1"/>
  <c r="N192" i="18"/>
  <c r="N181" i="18"/>
  <c r="N92" i="19"/>
  <c r="N112" i="19" s="1"/>
  <c r="M95" i="8"/>
  <c r="N191" i="18"/>
  <c r="N102" i="19"/>
  <c r="N122" i="19" s="1"/>
  <c r="N94" i="17"/>
  <c r="N114" i="17" s="1"/>
  <c r="N162" i="18"/>
  <c r="L118" i="8"/>
  <c r="M92" i="8"/>
  <c r="M90" i="8"/>
  <c r="M104" i="17"/>
  <c r="N101" i="19"/>
  <c r="N121" i="19" s="1"/>
  <c r="N190" i="18"/>
  <c r="N185" i="18"/>
  <c r="N96" i="19"/>
  <c r="N116" i="19" s="1"/>
  <c r="M96" i="8"/>
  <c r="M193" i="18"/>
  <c r="L113" i="8"/>
  <c r="N91" i="17"/>
  <c r="N111" i="17" s="1"/>
  <c r="N159" i="18"/>
  <c r="N80" i="23"/>
  <c r="N158" i="18"/>
  <c r="N90" i="17"/>
  <c r="N110" i="17" s="1"/>
  <c r="I41" i="25"/>
  <c r="J221" i="26"/>
  <c r="I26" i="25"/>
  <c r="I146" i="25"/>
  <c r="I11" i="25"/>
  <c r="I161" i="25"/>
  <c r="I71" i="25"/>
  <c r="I131" i="25"/>
  <c r="I206" i="25"/>
  <c r="I86" i="25"/>
  <c r="I101" i="25"/>
  <c r="I176" i="25"/>
  <c r="I116" i="25"/>
  <c r="I56" i="25"/>
  <c r="O165" i="18" l="1"/>
  <c r="O159" i="18"/>
  <c r="O163" i="18"/>
  <c r="O168" i="18"/>
  <c r="O171" i="18"/>
  <c r="O161" i="18"/>
  <c r="O160" i="18"/>
  <c r="O170" i="18"/>
  <c r="O166" i="18"/>
  <c r="O162" i="18"/>
  <c r="O169" i="18"/>
  <c r="O164" i="18"/>
  <c r="O167" i="18"/>
  <c r="I24" i="22"/>
  <c r="I21" i="10"/>
  <c r="I11" i="22" s="1"/>
  <c r="I221" i="25"/>
  <c r="J24" i="22"/>
  <c r="J236" i="25"/>
  <c r="P92" i="17"/>
  <c r="P112" i="17" s="1"/>
  <c r="P95" i="17"/>
  <c r="P115" i="17" s="1"/>
  <c r="P98" i="17"/>
  <c r="P118" i="17" s="1"/>
  <c r="P100" i="17"/>
  <c r="P120" i="17" s="1"/>
  <c r="P94" i="17"/>
  <c r="P114" i="17" s="1"/>
  <c r="M115" i="8"/>
  <c r="M117" i="8"/>
  <c r="O181" i="18"/>
  <c r="O92" i="19"/>
  <c r="O112" i="19" s="1"/>
  <c r="N96" i="8"/>
  <c r="N100" i="8"/>
  <c r="N97" i="8"/>
  <c r="M113" i="8"/>
  <c r="O80" i="23"/>
  <c r="O158" i="18"/>
  <c r="P97" i="17"/>
  <c r="P117" i="17" s="1"/>
  <c r="P91" i="17"/>
  <c r="P111" i="17" s="1"/>
  <c r="P90" i="17"/>
  <c r="P110" i="17" s="1"/>
  <c r="P96" i="17"/>
  <c r="P116" i="17" s="1"/>
  <c r="N90" i="8"/>
  <c r="N104" i="17"/>
  <c r="N91" i="8"/>
  <c r="M120" i="8"/>
  <c r="N193" i="18"/>
  <c r="M124" i="19"/>
  <c r="N93" i="8"/>
  <c r="L124" i="8"/>
  <c r="N92" i="8"/>
  <c r="O96" i="19"/>
  <c r="O116" i="19" s="1"/>
  <c r="O185" i="18"/>
  <c r="O180" i="18"/>
  <c r="O91" i="19"/>
  <c r="O111" i="19" s="1"/>
  <c r="O95" i="19"/>
  <c r="O115" i="19" s="1"/>
  <c r="O184" i="18"/>
  <c r="O98" i="19"/>
  <c r="O118" i="19" s="1"/>
  <c r="O187" i="18"/>
  <c r="O192" i="18"/>
  <c r="O103" i="19"/>
  <c r="O123" i="19" s="1"/>
  <c r="O94" i="19"/>
  <c r="O114" i="19" s="1"/>
  <c r="O183" i="18"/>
  <c r="P93" i="17"/>
  <c r="P113" i="17" s="1"/>
  <c r="P101" i="17"/>
  <c r="P121" i="17" s="1"/>
  <c r="P103" i="17"/>
  <c r="P123" i="17" s="1"/>
  <c r="P102" i="17"/>
  <c r="P122" i="17" s="1"/>
  <c r="N172" i="18"/>
  <c r="M116" i="8"/>
  <c r="M104" i="8"/>
  <c r="M112" i="8"/>
  <c r="N104" i="19"/>
  <c r="M122" i="8"/>
  <c r="O191" i="18"/>
  <c r="O102" i="19"/>
  <c r="O122" i="19" s="1"/>
  <c r="O97" i="19"/>
  <c r="O117" i="19" s="1"/>
  <c r="O186" i="18"/>
  <c r="M123" i="8"/>
  <c r="N99" i="8"/>
  <c r="O182" i="18"/>
  <c r="O93" i="19"/>
  <c r="O113" i="19" s="1"/>
  <c r="M121" i="8"/>
  <c r="M111" i="8"/>
  <c r="N101" i="8"/>
  <c r="P99" i="17"/>
  <c r="P119" i="17" s="1"/>
  <c r="M110" i="8"/>
  <c r="M124" i="17"/>
  <c r="N94" i="8"/>
  <c r="M119" i="8"/>
  <c r="O188" i="18"/>
  <c r="O99" i="19"/>
  <c r="O119" i="19" s="1"/>
  <c r="N95" i="8"/>
  <c r="N98" i="8"/>
  <c r="M118" i="8"/>
  <c r="M114" i="8"/>
  <c r="N102" i="8"/>
  <c r="N103" i="8"/>
  <c r="O90" i="19"/>
  <c r="O110" i="19" s="1"/>
  <c r="O179" i="18"/>
  <c r="O100" i="23"/>
  <c r="O100" i="19"/>
  <c r="O120" i="19" s="1"/>
  <c r="O189" i="18"/>
  <c r="O190" i="18"/>
  <c r="O101" i="19"/>
  <c r="O121" i="19" s="1"/>
  <c r="I221" i="26"/>
  <c r="O172" i="18" l="1"/>
  <c r="P169" i="18"/>
  <c r="P165" i="18"/>
  <c r="P163" i="18"/>
  <c r="P171" i="18"/>
  <c r="P159" i="18"/>
  <c r="P168" i="18"/>
  <c r="P166" i="18"/>
  <c r="P170" i="18"/>
  <c r="P160" i="18"/>
  <c r="P167" i="18"/>
  <c r="P161" i="18"/>
  <c r="P164" i="18"/>
  <c r="P162" i="18"/>
  <c r="I236" i="26"/>
  <c r="J236" i="26"/>
  <c r="I236" i="25"/>
  <c r="Q90" i="17"/>
  <c r="Q110" i="17" s="1"/>
  <c r="Q95" i="17"/>
  <c r="Q115" i="17" s="1"/>
  <c r="Q101" i="17"/>
  <c r="Q121" i="17" s="1"/>
  <c r="Q92" i="17"/>
  <c r="Q112" i="17" s="1"/>
  <c r="Q100" i="17"/>
  <c r="Q120" i="17" s="1"/>
  <c r="N123" i="8"/>
  <c r="N122" i="8"/>
  <c r="O99" i="8"/>
  <c r="M124" i="8"/>
  <c r="O93" i="8"/>
  <c r="N119" i="8"/>
  <c r="O97" i="8"/>
  <c r="O102" i="8"/>
  <c r="N124" i="19"/>
  <c r="P103" i="19"/>
  <c r="P123" i="19" s="1"/>
  <c r="P192" i="18"/>
  <c r="O94" i="8"/>
  <c r="O103" i="8"/>
  <c r="O98" i="8"/>
  <c r="O96" i="8"/>
  <c r="N112" i="8"/>
  <c r="N113" i="8"/>
  <c r="P80" i="23"/>
  <c r="P158" i="18"/>
  <c r="N117" i="8"/>
  <c r="N116" i="8"/>
  <c r="Q96" i="17"/>
  <c r="Q116" i="17" s="1"/>
  <c r="O90" i="8"/>
  <c r="O104" i="17"/>
  <c r="N114" i="8"/>
  <c r="N121" i="8"/>
  <c r="P102" i="19"/>
  <c r="P122" i="19" s="1"/>
  <c r="P191" i="18"/>
  <c r="N104" i="8"/>
  <c r="P96" i="19"/>
  <c r="P116" i="19" s="1"/>
  <c r="P185" i="18"/>
  <c r="N120" i="8"/>
  <c r="P183" i="18"/>
  <c r="P94" i="19"/>
  <c r="P114" i="19" s="1"/>
  <c r="P100" i="19"/>
  <c r="P120" i="19" s="1"/>
  <c r="P189" i="18"/>
  <c r="Q98" i="17"/>
  <c r="Q118" i="17" s="1"/>
  <c r="Q93" i="17"/>
  <c r="Q113" i="17" s="1"/>
  <c r="Q91" i="17"/>
  <c r="Q111" i="17" s="1"/>
  <c r="Q94" i="17"/>
  <c r="Q114" i="17" s="1"/>
  <c r="Q102" i="17"/>
  <c r="Q122" i="17" s="1"/>
  <c r="Q103" i="17"/>
  <c r="Q123" i="17" s="1"/>
  <c r="O100" i="8"/>
  <c r="O104" i="19"/>
  <c r="N115" i="8"/>
  <c r="P99" i="19"/>
  <c r="P119" i="19" s="1"/>
  <c r="P188" i="18"/>
  <c r="P182" i="18"/>
  <c r="P93" i="19"/>
  <c r="P113" i="19" s="1"/>
  <c r="N111" i="8"/>
  <c r="N110" i="8"/>
  <c r="N124" i="17"/>
  <c r="P186" i="18"/>
  <c r="P97" i="19"/>
  <c r="P117" i="19" s="1"/>
  <c r="O193" i="18"/>
  <c r="P95" i="19"/>
  <c r="P115" i="19" s="1"/>
  <c r="P184" i="18"/>
  <c r="P181" i="18"/>
  <c r="P92" i="19"/>
  <c r="P112" i="19" s="1"/>
  <c r="Q97" i="17"/>
  <c r="Q117" i="17" s="1"/>
  <c r="Q99" i="17"/>
  <c r="Q119" i="17" s="1"/>
  <c r="O101" i="8"/>
  <c r="N118" i="8"/>
  <c r="P190" i="18"/>
  <c r="P101" i="19"/>
  <c r="P121" i="19" s="1"/>
  <c r="O95" i="8"/>
  <c r="O91" i="8"/>
  <c r="P100" i="23"/>
  <c r="P179" i="18"/>
  <c r="P90" i="19"/>
  <c r="P110" i="19" s="1"/>
  <c r="P180" i="18"/>
  <c r="P91" i="19"/>
  <c r="P111" i="19" s="1"/>
  <c r="O92" i="8"/>
  <c r="P98" i="19"/>
  <c r="P118" i="19" s="1"/>
  <c r="P187" i="18"/>
  <c r="P172" i="18" l="1"/>
  <c r="Q165" i="18"/>
  <c r="Q170" i="18"/>
  <c r="Q166" i="18"/>
  <c r="Q160" i="18"/>
  <c r="Q169" i="18"/>
  <c r="Q171" i="18"/>
  <c r="Q161" i="18"/>
  <c r="Q168" i="18"/>
  <c r="Q167" i="18"/>
  <c r="Q162" i="18"/>
  <c r="Q159" i="18"/>
  <c r="Q163" i="18"/>
  <c r="Q164" i="18"/>
  <c r="P90" i="8"/>
  <c r="P104" i="17"/>
  <c r="P95" i="8"/>
  <c r="O120" i="8"/>
  <c r="P94" i="8"/>
  <c r="P102" i="8"/>
  <c r="Q96" i="19"/>
  <c r="Q116" i="19" s="1"/>
  <c r="Q185" i="18"/>
  <c r="O118" i="8"/>
  <c r="O117" i="8"/>
  <c r="Q92" i="19"/>
  <c r="Q112" i="19" s="1"/>
  <c r="Q181" i="18"/>
  <c r="Q90" i="19"/>
  <c r="Q110" i="19" s="1"/>
  <c r="Q179" i="18"/>
  <c r="Q100" i="23"/>
  <c r="O104" i="8"/>
  <c r="P104" i="19"/>
  <c r="O115" i="8"/>
  <c r="O121" i="8"/>
  <c r="P92" i="8"/>
  <c r="P97" i="8"/>
  <c r="P99" i="8"/>
  <c r="O124" i="19"/>
  <c r="Q102" i="19"/>
  <c r="Q122" i="19" s="1"/>
  <c r="Q191" i="18"/>
  <c r="Q94" i="19"/>
  <c r="Q114" i="19" s="1"/>
  <c r="Q183" i="18"/>
  <c r="Q98" i="19"/>
  <c r="Q118" i="19" s="1"/>
  <c r="Q187" i="18"/>
  <c r="O122" i="8"/>
  <c r="Q100" i="19"/>
  <c r="Q120" i="19" s="1"/>
  <c r="Q189" i="18"/>
  <c r="Q80" i="23"/>
  <c r="Q158" i="18"/>
  <c r="O112" i="8"/>
  <c r="P91" i="8"/>
  <c r="O111" i="8"/>
  <c r="P101" i="8"/>
  <c r="N124" i="8"/>
  <c r="Q103" i="19"/>
  <c r="Q123" i="19" s="1"/>
  <c r="Q192" i="18"/>
  <c r="Q93" i="19"/>
  <c r="Q113" i="19" s="1"/>
  <c r="Q182" i="18"/>
  <c r="O110" i="8"/>
  <c r="O124" i="17"/>
  <c r="O116" i="8"/>
  <c r="O114" i="8"/>
  <c r="Q101" i="19"/>
  <c r="Q121" i="19" s="1"/>
  <c r="Q190" i="18"/>
  <c r="Q95" i="19"/>
  <c r="Q115" i="19" s="1"/>
  <c r="Q184" i="18"/>
  <c r="P98" i="8"/>
  <c r="Q99" i="19"/>
  <c r="Q119" i="19" s="1"/>
  <c r="Q188" i="18"/>
  <c r="Q97" i="19"/>
  <c r="Q117" i="19" s="1"/>
  <c r="Q186" i="18"/>
  <c r="P193" i="18"/>
  <c r="P93" i="8"/>
  <c r="Q91" i="19"/>
  <c r="Q111" i="19" s="1"/>
  <c r="Q180" i="18"/>
  <c r="P100" i="8"/>
  <c r="P96" i="8"/>
  <c r="O123" i="8"/>
  <c r="P103" i="8"/>
  <c r="O113" i="8"/>
  <c r="O119" i="8"/>
  <c r="Q172" i="18" l="1"/>
  <c r="P113" i="8"/>
  <c r="Q97" i="8"/>
  <c r="Q103" i="8"/>
  <c r="P111" i="8"/>
  <c r="Q98" i="8"/>
  <c r="Q102" i="8"/>
  <c r="P119" i="8"/>
  <c r="P112" i="8"/>
  <c r="Q90" i="8"/>
  <c r="Q104" i="17"/>
  <c r="Q92" i="8"/>
  <c r="P122" i="8"/>
  <c r="P114" i="8"/>
  <c r="P115" i="8"/>
  <c r="P118" i="8"/>
  <c r="Q101" i="8"/>
  <c r="Q94" i="8"/>
  <c r="P117" i="8"/>
  <c r="P124" i="19"/>
  <c r="Q104" i="19"/>
  <c r="Q193" i="18"/>
  <c r="Q96" i="8"/>
  <c r="P123" i="8"/>
  <c r="Q91" i="8"/>
  <c r="Q95" i="8"/>
  <c r="O124" i="8"/>
  <c r="Q100" i="8"/>
  <c r="P104" i="8"/>
  <c r="P116" i="8"/>
  <c r="P120" i="8"/>
  <c r="Q99" i="8"/>
  <c r="Q93" i="8"/>
  <c r="P121" i="8"/>
  <c r="P110" i="8"/>
  <c r="P124" i="17"/>
  <c r="Q124" i="19" l="1"/>
  <c r="Q114" i="8"/>
  <c r="Q112" i="8"/>
  <c r="Q120" i="8"/>
  <c r="Q118" i="8"/>
  <c r="Q123" i="8"/>
  <c r="Q117" i="8"/>
  <c r="P124" i="8"/>
  <c r="Q121" i="8"/>
  <c r="Q122" i="8"/>
  <c r="Q113" i="8"/>
  <c r="Q119" i="8"/>
  <c r="Q115" i="8"/>
  <c r="Q111" i="8"/>
  <c r="Q116" i="8"/>
  <c r="Q104" i="8"/>
  <c r="Q110" i="8"/>
  <c r="Q124" i="17"/>
  <c r="Q124" i="8" l="1"/>
  <c r="L16" i="10" l="1"/>
  <c r="L13" i="10"/>
  <c r="L9" i="10"/>
  <c r="K13" i="6" l="1"/>
  <c r="K13" i="10" s="1"/>
  <c r="K16" i="6"/>
  <c r="K16" i="10" s="1"/>
  <c r="K9" i="6"/>
  <c r="K9" i="10" s="1"/>
  <c r="L11" i="10"/>
  <c r="L20" i="10"/>
  <c r="L7" i="10"/>
  <c r="L14" i="10"/>
  <c r="L17" i="10"/>
  <c r="L19" i="10"/>
  <c r="L10" i="10"/>
  <c r="L8" i="10"/>
  <c r="L18" i="10"/>
  <c r="L12" i="10"/>
  <c r="L15" i="10"/>
  <c r="K101" i="25"/>
  <c r="L41" i="25"/>
  <c r="K146" i="25"/>
  <c r="K41" i="25"/>
  <c r="L101" i="25"/>
  <c r="L146" i="25"/>
  <c r="K14" i="6" l="1"/>
  <c r="K14" i="10" s="1"/>
  <c r="K11" i="6"/>
  <c r="K11" i="10" s="1"/>
  <c r="K18" i="6"/>
  <c r="K18" i="10" s="1"/>
  <c r="K15" i="6"/>
  <c r="K15" i="10" s="1"/>
  <c r="L21" i="6"/>
  <c r="L28" i="10" s="1"/>
  <c r="K7" i="6"/>
  <c r="K7" i="10" s="1"/>
  <c r="K10" i="6"/>
  <c r="K10" i="10" s="1"/>
  <c r="K12" i="6"/>
  <c r="K12" i="10" s="1"/>
  <c r="K8" i="6"/>
  <c r="K8" i="10" s="1"/>
  <c r="K19" i="6"/>
  <c r="K19" i="10" s="1"/>
  <c r="K17" i="6"/>
  <c r="K17" i="10" s="1"/>
  <c r="K20" i="6"/>
  <c r="K20" i="10" s="1"/>
  <c r="N9" i="10"/>
  <c r="N17" i="10"/>
  <c r="N16" i="10"/>
  <c r="N13" i="10"/>
  <c r="N11" i="10"/>
  <c r="N14" i="10"/>
  <c r="N15" i="10"/>
  <c r="L86" i="25"/>
  <c r="K191" i="25"/>
  <c r="L221" i="26"/>
  <c r="K161" i="25"/>
  <c r="L206" i="25"/>
  <c r="K116" i="25"/>
  <c r="L191" i="25"/>
  <c r="L116" i="25"/>
  <c r="K71" i="25"/>
  <c r="K206" i="25"/>
  <c r="L71" i="25"/>
  <c r="L56" i="25"/>
  <c r="K176" i="25"/>
  <c r="L161" i="25"/>
  <c r="K131" i="25"/>
  <c r="K56" i="25"/>
  <c r="L26" i="25"/>
  <c r="L11" i="25"/>
  <c r="K26" i="25"/>
  <c r="L176" i="25"/>
  <c r="L131" i="25"/>
  <c r="K86" i="25"/>
  <c r="M20" i="6" l="1"/>
  <c r="M20" i="10" s="1"/>
  <c r="N20" i="10"/>
  <c r="M18" i="6"/>
  <c r="M18" i="10" s="1"/>
  <c r="N18" i="10"/>
  <c r="M10" i="6"/>
  <c r="M10" i="10" s="1"/>
  <c r="N10" i="10"/>
  <c r="M8" i="6"/>
  <c r="M8" i="10" s="1"/>
  <c r="N8" i="10"/>
  <c r="M12" i="6"/>
  <c r="M12" i="10" s="1"/>
  <c r="N12" i="10"/>
  <c r="M19" i="6"/>
  <c r="M19" i="10" s="1"/>
  <c r="N19" i="10"/>
  <c r="L221" i="25"/>
  <c r="M16" i="6"/>
  <c r="M16" i="10" s="1"/>
  <c r="M15" i="6"/>
  <c r="M15" i="10" s="1"/>
  <c r="M14" i="6"/>
  <c r="M14" i="10" s="1"/>
  <c r="M11" i="6"/>
  <c r="M11" i="10" s="1"/>
  <c r="M13" i="6"/>
  <c r="M13" i="10" s="1"/>
  <c r="L21" i="10"/>
  <c r="L11" i="22" s="1"/>
  <c r="L24" i="22"/>
  <c r="M9" i="6"/>
  <c r="M9" i="10" s="1"/>
  <c r="M17" i="6"/>
  <c r="M17" i="10" s="1"/>
  <c r="K21" i="6"/>
  <c r="K28" i="10" s="1"/>
  <c r="N146" i="25"/>
  <c r="N191" i="25"/>
  <c r="N131" i="25"/>
  <c r="N116" i="25"/>
  <c r="M101" i="25"/>
  <c r="N26" i="25"/>
  <c r="N101" i="25"/>
  <c r="N86" i="25"/>
  <c r="K11" i="25"/>
  <c r="M206" i="25"/>
  <c r="N41" i="25"/>
  <c r="M146" i="25"/>
  <c r="N176" i="25"/>
  <c r="M26" i="25"/>
  <c r="M176" i="25"/>
  <c r="M56" i="25"/>
  <c r="N206" i="25"/>
  <c r="N71" i="25"/>
  <c r="M161" i="25"/>
  <c r="M191" i="25"/>
  <c r="M116" i="25"/>
  <c r="M71" i="25"/>
  <c r="M86" i="25"/>
  <c r="M131" i="25"/>
  <c r="N56" i="25"/>
  <c r="N161" i="25"/>
  <c r="K221" i="26"/>
  <c r="M41" i="25"/>
  <c r="K221" i="25" l="1"/>
  <c r="N7" i="10"/>
  <c r="K24" i="22"/>
  <c r="L236" i="26"/>
  <c r="K21" i="10"/>
  <c r="K11" i="22" s="1"/>
  <c r="L236" i="25"/>
  <c r="P19" i="10"/>
  <c r="P18" i="10"/>
  <c r="P20" i="10"/>
  <c r="P8" i="10"/>
  <c r="P9" i="10"/>
  <c r="P13" i="10"/>
  <c r="P12" i="10"/>
  <c r="P11" i="10"/>
  <c r="P10" i="10"/>
  <c r="P17" i="10"/>
  <c r="P16" i="10"/>
  <c r="P15" i="10"/>
  <c r="P14" i="10"/>
  <c r="O17" i="6" l="1"/>
  <c r="O17" i="10" s="1"/>
  <c r="O10" i="6"/>
  <c r="O10" i="10" s="1"/>
  <c r="O8" i="6"/>
  <c r="O8" i="10" s="1"/>
  <c r="O18" i="6"/>
  <c r="O18" i="10" s="1"/>
  <c r="K236" i="25"/>
  <c r="O15" i="6"/>
  <c r="O15" i="10" s="1"/>
  <c r="O16" i="6"/>
  <c r="O16" i="10" s="1"/>
  <c r="O12" i="6"/>
  <c r="O12" i="10" s="1"/>
  <c r="O13" i="6"/>
  <c r="O13" i="10" s="1"/>
  <c r="O14" i="6"/>
  <c r="O14" i="10" s="1"/>
  <c r="O11" i="6"/>
  <c r="O11" i="10" s="1"/>
  <c r="O20" i="6"/>
  <c r="O20" i="10" s="1"/>
  <c r="O19" i="6"/>
  <c r="O19" i="10" s="1"/>
  <c r="O9" i="6"/>
  <c r="O9" i="10" s="1"/>
  <c r="K236" i="26"/>
  <c r="N21" i="6"/>
  <c r="N28" i="10" s="1"/>
  <c r="M7" i="6"/>
  <c r="M7" i="10" s="1"/>
  <c r="N11" i="25"/>
  <c r="O146" i="25"/>
  <c r="P191" i="25"/>
  <c r="P176" i="25"/>
  <c r="P26" i="25"/>
  <c r="P146" i="25"/>
  <c r="P41" i="25"/>
  <c r="P86" i="25"/>
  <c r="P71" i="25"/>
  <c r="P131" i="25"/>
  <c r="P161" i="25"/>
  <c r="P116" i="25"/>
  <c r="P56" i="25"/>
  <c r="O41" i="25"/>
  <c r="O161" i="25"/>
  <c r="O86" i="25"/>
  <c r="O176" i="25"/>
  <c r="O206" i="25"/>
  <c r="O131" i="25"/>
  <c r="O26" i="25"/>
  <c r="O191" i="25"/>
  <c r="N221" i="26"/>
  <c r="O116" i="25"/>
  <c r="P101" i="25"/>
  <c r="P206" i="25"/>
  <c r="O56" i="25"/>
  <c r="O101" i="25"/>
  <c r="O71" i="25"/>
  <c r="Q16" i="6" l="1"/>
  <c r="Q16" i="10" s="1"/>
  <c r="Q13" i="6"/>
  <c r="Q13" i="10" s="1"/>
  <c r="Q12" i="6"/>
  <c r="Q12" i="10" s="1"/>
  <c r="Q17" i="6"/>
  <c r="Q17" i="10" s="1"/>
  <c r="Q18" i="6"/>
  <c r="Q18" i="10" s="1"/>
  <c r="Q20" i="6"/>
  <c r="Q20" i="10" s="1"/>
  <c r="Q19" i="6"/>
  <c r="Q19" i="10" s="1"/>
  <c r="N221" i="25"/>
  <c r="M21" i="6"/>
  <c r="M28" i="10" s="1"/>
  <c r="Q9" i="6"/>
  <c r="Q9" i="10" s="1"/>
  <c r="Q11" i="6"/>
  <c r="Q11" i="10" s="1"/>
  <c r="Q15" i="6"/>
  <c r="Q15" i="10" s="1"/>
  <c r="Q10" i="6"/>
  <c r="Q10" i="10" s="1"/>
  <c r="N21" i="10"/>
  <c r="N11" i="22" s="1"/>
  <c r="Q8" i="6"/>
  <c r="Q8" i="10" s="1"/>
  <c r="P7" i="10"/>
  <c r="N24" i="22"/>
  <c r="Q14" i="6"/>
  <c r="Q14" i="10" s="1"/>
  <c r="Q131" i="25"/>
  <c r="Q56" i="25"/>
  <c r="M221" i="26"/>
  <c r="Q146" i="25"/>
  <c r="Q26" i="25"/>
  <c r="Q161" i="25"/>
  <c r="Q41" i="25"/>
  <c r="Q176" i="25"/>
  <c r="M11" i="25"/>
  <c r="Q86" i="25"/>
  <c r="Q191" i="25"/>
  <c r="Q206" i="25"/>
  <c r="Q116" i="25"/>
  <c r="Q71" i="25"/>
  <c r="Q101" i="25"/>
  <c r="M221" i="25" l="1"/>
  <c r="P21" i="6"/>
  <c r="P28" i="10" s="1"/>
  <c r="O7" i="6"/>
  <c r="M21" i="10"/>
  <c r="M11" i="22" s="1"/>
  <c r="N236" i="26"/>
  <c r="M24" i="22"/>
  <c r="N236" i="25"/>
  <c r="P11" i="25"/>
  <c r="P221" i="26"/>
  <c r="Q7" i="6" l="1"/>
  <c r="Q7" i="10" s="1"/>
  <c r="O7" i="10"/>
  <c r="P221" i="25"/>
  <c r="P21" i="10"/>
  <c r="P11" i="22" s="1"/>
  <c r="M236" i="26"/>
  <c r="P24" i="22"/>
  <c r="M236" i="25"/>
  <c r="O21" i="6"/>
  <c r="O28" i="10" s="1"/>
  <c r="O11" i="25"/>
  <c r="O221" i="26"/>
  <c r="Q11" i="25"/>
  <c r="Q21" i="6" l="1"/>
  <c r="Q28" i="10" s="1"/>
  <c r="O221" i="25"/>
  <c r="Q221" i="25"/>
  <c r="P236" i="25"/>
  <c r="P236" i="26"/>
  <c r="O24" i="22"/>
  <c r="O21" i="10"/>
  <c r="O11" i="22" s="1"/>
  <c r="Q21" i="10"/>
  <c r="Q11" i="22" s="1"/>
  <c r="Q221" i="26"/>
  <c r="Q24" i="22" l="1"/>
  <c r="Q236" i="26" s="1"/>
  <c r="Q236" i="25"/>
  <c r="O236" i="26"/>
  <c r="O236" i="25"/>
  <c r="I53" i="8" l="1"/>
  <c r="I42" i="12"/>
  <c r="I26" i="22" s="1"/>
  <c r="Y20" i="17"/>
  <c r="Y12" i="17"/>
  <c r="Y18" i="17"/>
  <c r="I21" i="12"/>
  <c r="I13" i="22" s="1"/>
  <c r="Y17" i="17"/>
  <c r="Y9" i="17"/>
  <c r="Y7" i="17"/>
  <c r="Y19" i="17"/>
  <c r="I56" i="8"/>
  <c r="Y10" i="17"/>
  <c r="I55" i="8"/>
  <c r="I73" i="25"/>
  <c r="I133" i="26"/>
  <c r="I147" i="25"/>
  <c r="I43" i="26"/>
  <c r="I207" i="25"/>
  <c r="I28" i="25"/>
  <c r="I13" i="26"/>
  <c r="I162" i="25"/>
  <c r="I58" i="25"/>
  <c r="I192" i="25"/>
  <c r="I73" i="26"/>
  <c r="I163" i="26"/>
  <c r="I103" i="25"/>
  <c r="I178" i="25"/>
  <c r="I117" i="25"/>
  <c r="I193" i="26"/>
  <c r="I163" i="25"/>
  <c r="I118" i="26"/>
  <c r="I178" i="26"/>
  <c r="I42" i="25"/>
  <c r="I208" i="25"/>
  <c r="I12" i="25"/>
  <c r="I133" i="25"/>
  <c r="I118" i="25"/>
  <c r="I72" i="25"/>
  <c r="I148" i="25"/>
  <c r="I57" i="25"/>
  <c r="I193" i="25"/>
  <c r="I148" i="26"/>
  <c r="I88" i="25"/>
  <c r="I88" i="26"/>
  <c r="I87" i="25"/>
  <c r="I103" i="26"/>
  <c r="I208" i="26"/>
  <c r="I13" i="25"/>
  <c r="I58" i="26"/>
  <c r="I102" i="25"/>
  <c r="I43" i="25"/>
  <c r="I28" i="26"/>
  <c r="I223" i="26" l="1"/>
  <c r="I238" i="26" s="1"/>
  <c r="I223" i="25"/>
  <c r="I238" i="25" s="1"/>
  <c r="I52" i="8"/>
  <c r="I61" i="8"/>
  <c r="I58" i="8"/>
  <c r="I62" i="8"/>
  <c r="I60" i="8"/>
  <c r="I54" i="8"/>
  <c r="I49" i="8"/>
  <c r="I59" i="8"/>
  <c r="I51" i="8"/>
  <c r="I177" i="25"/>
  <c r="I141" i="8" l="1"/>
  <c r="I17" i="8" s="1"/>
  <c r="I17" i="16" s="1"/>
  <c r="I19" i="3"/>
  <c r="I37" i="19"/>
  <c r="I143" i="8"/>
  <c r="I19" i="8" s="1"/>
  <c r="I19" i="16" s="1"/>
  <c r="I144" i="8"/>
  <c r="I20" i="8" s="1"/>
  <c r="I20" i="16" s="1"/>
  <c r="I40" i="17"/>
  <c r="I35" i="17"/>
  <c r="I138" i="8"/>
  <c r="I14" i="8" s="1"/>
  <c r="I136" i="8"/>
  <c r="I12" i="8" s="1"/>
  <c r="I135" i="8"/>
  <c r="I11" i="8" s="1"/>
  <c r="I11" i="16" s="1"/>
  <c r="I134" i="8"/>
  <c r="I10" i="8" s="1"/>
  <c r="I10" i="16" s="1"/>
  <c r="I164" i="8"/>
  <c r="I41" i="8" s="1"/>
  <c r="I41" i="17"/>
  <c r="I38" i="17"/>
  <c r="I32" i="19"/>
  <c r="I140" i="8"/>
  <c r="I16" i="8" s="1"/>
  <c r="I41" i="19"/>
  <c r="I40" i="19"/>
  <c r="I137" i="8"/>
  <c r="I13" i="8" s="1"/>
  <c r="I13" i="16" s="1"/>
  <c r="I131" i="8"/>
  <c r="I133" i="8"/>
  <c r="I9" i="8" s="1"/>
  <c r="I142" i="8"/>
  <c r="I18" i="8" s="1"/>
  <c r="I18" i="16" s="1"/>
  <c r="I35" i="19"/>
  <c r="I115" i="26"/>
  <c r="I39" i="25"/>
  <c r="I99" i="25"/>
  <c r="I205" i="25"/>
  <c r="I55" i="25"/>
  <c r="I54" i="25"/>
  <c r="I160" i="25"/>
  <c r="I144" i="25"/>
  <c r="I145" i="25"/>
  <c r="I85" i="25"/>
  <c r="I175" i="25"/>
  <c r="I189" i="25"/>
  <c r="I10" i="25"/>
  <c r="I9" i="25"/>
  <c r="I204" i="25"/>
  <c r="I174" i="25"/>
  <c r="I70" i="25"/>
  <c r="I204" i="26"/>
  <c r="I205" i="26"/>
  <c r="I84" i="25"/>
  <c r="I115" i="25"/>
  <c r="I100" i="25"/>
  <c r="I190" i="25"/>
  <c r="I40" i="25"/>
  <c r="I69" i="25"/>
  <c r="I159" i="25"/>
  <c r="I70" i="26"/>
  <c r="I190" i="26"/>
  <c r="I159" i="26"/>
  <c r="I114" i="25"/>
  <c r="I20" i="3" l="1"/>
  <c r="I40" i="3" s="1"/>
  <c r="I14" i="3"/>
  <c r="I34" i="3" s="1"/>
  <c r="I163" i="8"/>
  <c r="I40" i="8" s="1"/>
  <c r="I158" i="8"/>
  <c r="I35" i="8" s="1"/>
  <c r="I151" i="8"/>
  <c r="I39" i="3"/>
  <c r="I14" i="16"/>
  <c r="I18" i="3"/>
  <c r="I38" i="3" s="1"/>
  <c r="I9" i="16"/>
  <c r="I34" i="19"/>
  <c r="I157" i="8"/>
  <c r="I34" i="8" s="1"/>
  <c r="I34" i="17"/>
  <c r="I30" i="17"/>
  <c r="I153" i="8"/>
  <c r="I30" i="8" s="1"/>
  <c r="I16" i="3"/>
  <c r="I36" i="3" s="1"/>
  <c r="I10" i="3"/>
  <c r="I30" i="3" s="1"/>
  <c r="I12" i="3"/>
  <c r="I32" i="3" s="1"/>
  <c r="I102" i="3"/>
  <c r="I162" i="8"/>
  <c r="I39" i="8" s="1"/>
  <c r="I39" i="17"/>
  <c r="I28" i="17"/>
  <c r="I38" i="19"/>
  <c r="I13" i="3"/>
  <c r="I33" i="3" s="1"/>
  <c r="I16" i="16"/>
  <c r="I108" i="3"/>
  <c r="I128" i="3" s="1"/>
  <c r="I154" i="8"/>
  <c r="I31" i="8" s="1"/>
  <c r="I31" i="17"/>
  <c r="I11" i="3"/>
  <c r="I31" i="3" s="1"/>
  <c r="I12" i="16"/>
  <c r="I31" i="19"/>
  <c r="I39" i="19"/>
  <c r="I9" i="3"/>
  <c r="I29" i="3" s="1"/>
  <c r="I107" i="3"/>
  <c r="I30" i="19"/>
  <c r="I37" i="17"/>
  <c r="I160" i="8"/>
  <c r="I37" i="8" s="1"/>
  <c r="I161" i="8"/>
  <c r="I38" i="8" s="1"/>
  <c r="I32" i="17"/>
  <c r="I155" i="8"/>
  <c r="I32" i="8" s="1"/>
  <c r="I33" i="17"/>
  <c r="I156" i="8"/>
  <c r="I33" i="8" s="1"/>
  <c r="I17" i="3"/>
  <c r="I37" i="3" s="1"/>
  <c r="I33" i="19"/>
  <c r="I143" i="25"/>
  <c r="I203" i="25"/>
  <c r="I189" i="26"/>
  <c r="I84" i="26"/>
  <c r="I114" i="26"/>
  <c r="I202" i="25"/>
  <c r="I158" i="25"/>
  <c r="I68" i="26"/>
  <c r="I99" i="26"/>
  <c r="I67" i="25"/>
  <c r="I113" i="26"/>
  <c r="I174" i="26"/>
  <c r="I53" i="25"/>
  <c r="I9" i="26"/>
  <c r="I157" i="25"/>
  <c r="I69" i="26"/>
  <c r="I55" i="26"/>
  <c r="I202" i="26"/>
  <c r="I100" i="26"/>
  <c r="I39" i="26"/>
  <c r="I10" i="26"/>
  <c r="I98" i="25"/>
  <c r="I160" i="26"/>
  <c r="I173" i="25"/>
  <c r="I40" i="26"/>
  <c r="I157" i="26"/>
  <c r="I82" i="25"/>
  <c r="I37" i="25"/>
  <c r="I113" i="25"/>
  <c r="I97" i="25"/>
  <c r="I85" i="26"/>
  <c r="I188" i="25"/>
  <c r="I188" i="26"/>
  <c r="I68" i="25"/>
  <c r="I172" i="25"/>
  <c r="I144" i="26"/>
  <c r="I83" i="25"/>
  <c r="I38" i="25"/>
  <c r="I203" i="26"/>
  <c r="I142" i="25"/>
  <c r="I52" i="25"/>
  <c r="I145" i="26"/>
  <c r="I175" i="26"/>
  <c r="I7" i="25"/>
  <c r="I187" i="25"/>
  <c r="I112" i="25"/>
  <c r="I54" i="26"/>
  <c r="I74" i="25" l="1"/>
  <c r="I104" i="25"/>
  <c r="I179" i="25"/>
  <c r="I149" i="25"/>
  <c r="I209" i="26"/>
  <c r="I119" i="25"/>
  <c r="I209" i="25"/>
  <c r="I44" i="25"/>
  <c r="I59" i="25"/>
  <c r="I89" i="25"/>
  <c r="I194" i="25"/>
  <c r="I164" i="25"/>
  <c r="I127" i="3"/>
  <c r="I122" i="3"/>
  <c r="I101" i="3"/>
  <c r="I121" i="3" s="1"/>
  <c r="I104" i="3"/>
  <c r="I124" i="3" s="1"/>
  <c r="I98" i="3"/>
  <c r="I118" i="3" s="1"/>
  <c r="I105" i="3"/>
  <c r="I125" i="3" s="1"/>
  <c r="I106" i="3"/>
  <c r="I126" i="3" s="1"/>
  <c r="I97" i="3"/>
  <c r="I117" i="3" s="1"/>
  <c r="I99" i="3"/>
  <c r="I119" i="3" s="1"/>
  <c r="I100" i="3"/>
  <c r="I120" i="3" s="1"/>
  <c r="I112" i="26"/>
  <c r="I7" i="26"/>
  <c r="I38" i="26"/>
  <c r="I37" i="26"/>
  <c r="I53" i="26"/>
  <c r="I82" i="26"/>
  <c r="I83" i="26"/>
  <c r="I173" i="26"/>
  <c r="I187" i="26"/>
  <c r="I52" i="26"/>
  <c r="I143" i="26"/>
  <c r="I98" i="26"/>
  <c r="I158" i="26"/>
  <c r="I142" i="26"/>
  <c r="I172" i="26"/>
  <c r="I67" i="26"/>
  <c r="I97" i="26"/>
  <c r="I194" i="26" l="1"/>
  <c r="I104" i="26"/>
  <c r="I119" i="26"/>
  <c r="I59" i="26"/>
  <c r="I149" i="26"/>
  <c r="I74" i="26"/>
  <c r="I44" i="26"/>
  <c r="I89" i="26"/>
  <c r="I179" i="26"/>
  <c r="I164" i="26"/>
  <c r="Y15" i="17" l="1"/>
  <c r="I132" i="25"/>
  <c r="I57" i="8" l="1"/>
  <c r="I129" i="25"/>
  <c r="I130" i="25"/>
  <c r="I139" i="8" l="1"/>
  <c r="I15" i="8" s="1"/>
  <c r="I129" i="26"/>
  <c r="I130" i="26"/>
  <c r="I127" i="25"/>
  <c r="I128" i="25"/>
  <c r="I134" i="25" l="1"/>
  <c r="I36" i="17"/>
  <c r="I159" i="8"/>
  <c r="I36" i="8" s="1"/>
  <c r="I15" i="3"/>
  <c r="I35" i="3" s="1"/>
  <c r="I36" i="19"/>
  <c r="I15" i="16"/>
  <c r="I128" i="26"/>
  <c r="I127" i="26"/>
  <c r="I134" i="26" l="1"/>
  <c r="I103" i="3"/>
  <c r="I123" i="3" s="1"/>
  <c r="Y8" i="17" l="1"/>
  <c r="I50" i="8" l="1"/>
  <c r="I63" i="8" s="1"/>
  <c r="I63" i="17"/>
  <c r="I67" i="18"/>
  <c r="I63" i="19"/>
  <c r="I109" i="18" l="1"/>
  <c r="I27" i="25"/>
  <c r="I222" i="25" l="1"/>
  <c r="I21" i="11"/>
  <c r="I12" i="22" s="1"/>
  <c r="I222" i="26"/>
  <c r="I25" i="22" l="1"/>
  <c r="I237" i="26" s="1"/>
  <c r="I237" i="25"/>
  <c r="I25" i="25"/>
  <c r="I220" i="25" l="1"/>
  <c r="I145" i="19"/>
  <c r="I10" i="22" s="1"/>
  <c r="I24" i="25"/>
  <c r="I24" i="26"/>
  <c r="I25" i="26"/>
  <c r="I23" i="25"/>
  <c r="I132" i="8" l="1"/>
  <c r="I8" i="8" s="1"/>
  <c r="I145" i="17"/>
  <c r="I9" i="22" s="1"/>
  <c r="I219" i="25"/>
  <c r="I220" i="26"/>
  <c r="I219" i="26"/>
  <c r="I152" i="8"/>
  <c r="I29" i="19"/>
  <c r="I165" i="19"/>
  <c r="I23" i="22" s="1"/>
  <c r="I29" i="17"/>
  <c r="I165" i="17"/>
  <c r="I22" i="22" s="1"/>
  <c r="I235" i="25"/>
  <c r="I21" i="17"/>
  <c r="I8" i="3"/>
  <c r="I22" i="25"/>
  <c r="I23" i="26"/>
  <c r="I22" i="26"/>
  <c r="I7" i="22" l="1"/>
  <c r="I145" i="8"/>
  <c r="I234" i="25"/>
  <c r="I29" i="25"/>
  <c r="I217" i="25"/>
  <c r="I234" i="26"/>
  <c r="I29" i="26"/>
  <c r="I217" i="26"/>
  <c r="I29" i="8"/>
  <c r="I165" i="8"/>
  <c r="I96" i="3"/>
  <c r="I42" i="17"/>
  <c r="I20" i="22" s="1"/>
  <c r="I28" i="3"/>
  <c r="I8" i="16"/>
  <c r="I235" i="26"/>
  <c r="I232" i="25" l="1"/>
  <c r="I116" i="3"/>
  <c r="I232" i="26"/>
  <c r="I21" i="19" l="1"/>
  <c r="I8" i="22" s="1"/>
  <c r="I14" i="22" s="1"/>
  <c r="I7" i="3"/>
  <c r="I21" i="3" s="1"/>
  <c r="I8" i="25"/>
  <c r="I14" i="25" l="1"/>
  <c r="I218" i="25"/>
  <c r="I100" i="23"/>
  <c r="I233" i="25" l="1"/>
  <c r="I239" i="25" s="1"/>
  <c r="I224" i="25"/>
  <c r="I104" i="19"/>
  <c r="I124" i="19" l="1"/>
  <c r="I90" i="8"/>
  <c r="I7" i="8" s="1"/>
  <c r="I110" i="8" l="1"/>
  <c r="I28" i="8" s="1"/>
  <c r="I28" i="19"/>
  <c r="I42" i="19" s="1"/>
  <c r="I21" i="22" s="1"/>
  <c r="I27" i="22" s="1"/>
  <c r="I104" i="8"/>
  <c r="I21" i="8"/>
  <c r="I27" i="3"/>
  <c r="I41" i="3" s="1"/>
  <c r="I7" i="16"/>
  <c r="I21" i="16" s="1"/>
  <c r="I8" i="26"/>
  <c r="I124" i="8" l="1"/>
  <c r="I95" i="3"/>
  <c r="I109" i="3" s="1"/>
  <c r="I14" i="26"/>
  <c r="I218" i="26"/>
  <c r="I224" i="26" s="1"/>
  <c r="I42" i="8"/>
  <c r="I27" i="16" s="1"/>
  <c r="I115" i="3" l="1"/>
  <c r="I129" i="3" s="1"/>
  <c r="I233" i="26"/>
  <c r="I239" i="26" s="1"/>
  <c r="Y16" i="17" l="1"/>
  <c r="Y13" i="17"/>
  <c r="Y14" i="17"/>
  <c r="H46" i="7" l="1"/>
  <c r="I46" i="7" s="1"/>
  <c r="J46" i="7" s="1"/>
  <c r="D18" i="7" l="1"/>
  <c r="H42" i="7" l="1"/>
  <c r="I42" i="7" s="1"/>
  <c r="J42" i="7" s="1"/>
  <c r="H48" i="7"/>
  <c r="I48" i="7" s="1"/>
  <c r="J48" i="7" s="1"/>
  <c r="D10" i="7"/>
  <c r="D7" i="7"/>
  <c r="D11" i="7"/>
  <c r="D7" i="13"/>
  <c r="H44" i="7"/>
  <c r="I44" i="7" s="1"/>
  <c r="J44" i="7" s="1"/>
  <c r="H38" i="7"/>
  <c r="I38" i="7" s="1"/>
  <c r="J38" i="7" s="1"/>
  <c r="D16" i="7"/>
  <c r="D13" i="7"/>
  <c r="D9" i="7"/>
  <c r="D20" i="7"/>
  <c r="H39" i="7"/>
  <c r="I39" i="7" s="1"/>
  <c r="J39" i="7" s="1"/>
  <c r="H41" i="7"/>
  <c r="I41" i="7" s="1"/>
  <c r="J41" i="7" s="1"/>
  <c r="H47" i="7"/>
  <c r="I47" i="7" s="1"/>
  <c r="J47" i="7" s="1"/>
  <c r="D14" i="7"/>
  <c r="D19" i="7"/>
  <c r="H40" i="7"/>
  <c r="I40" i="7" s="1"/>
  <c r="J40" i="7" s="1"/>
  <c r="H35" i="7"/>
  <c r="H37" i="7"/>
  <c r="I37" i="7" s="1"/>
  <c r="J37" i="7" s="1"/>
  <c r="D12" i="7"/>
  <c r="D17" i="7"/>
  <c r="H45" i="7"/>
  <c r="I45" i="7" s="1"/>
  <c r="J45" i="7" s="1"/>
  <c r="I35" i="7"/>
  <c r="J35" i="7" s="1"/>
  <c r="D32" i="18" l="1"/>
  <c r="D16" i="13"/>
  <c r="D42" i="18"/>
  <c r="D19" i="13"/>
  <c r="D33" i="18"/>
  <c r="D12" i="13"/>
  <c r="D17" i="13"/>
  <c r="D45" i="18"/>
  <c r="D15" i="13"/>
  <c r="D44" i="18"/>
  <c r="D14" i="13"/>
  <c r="D39" i="18"/>
  <c r="D13" i="13"/>
  <c r="D35" i="18"/>
  <c r="D41" i="18"/>
  <c r="D18" i="13"/>
  <c r="D34" i="18"/>
  <c r="D10" i="13"/>
  <c r="D40" i="18"/>
  <c r="D11" i="13"/>
  <c r="D38" i="18"/>
  <c r="D37" i="18"/>
  <c r="D20" i="13"/>
  <c r="D8" i="13"/>
  <c r="D43" i="18"/>
  <c r="D9" i="13"/>
  <c r="D77" i="18"/>
  <c r="D83" i="18"/>
  <c r="D76" i="18"/>
  <c r="D82" i="18"/>
  <c r="D80" i="18"/>
  <c r="D79" i="18"/>
  <c r="D85" i="18"/>
  <c r="D74" i="18"/>
  <c r="D84" i="18"/>
  <c r="D75" i="18"/>
  <c r="D21" i="13"/>
  <c r="D87" i="18"/>
  <c r="D86" i="18"/>
  <c r="D81" i="18"/>
  <c r="D22" i="13" l="1"/>
  <c r="P8" i="13"/>
  <c r="P9" i="7"/>
  <c r="P17" i="13"/>
  <c r="P10" i="7"/>
  <c r="P7" i="7"/>
  <c r="P16" i="13"/>
  <c r="P18" i="13"/>
  <c r="P9" i="13"/>
  <c r="P11" i="13"/>
  <c r="D36" i="18"/>
  <c r="P15" i="13"/>
  <c r="P11" i="7"/>
  <c r="P14" i="7"/>
  <c r="D78" i="18"/>
  <c r="D88" i="18" s="1"/>
  <c r="D46" i="18"/>
  <c r="D51" i="3" l="1"/>
  <c r="D79" i="3"/>
  <c r="D57" i="3"/>
  <c r="D73" i="3"/>
  <c r="D74" i="3"/>
  <c r="D47" i="18"/>
  <c r="P16" i="7"/>
  <c r="P12" i="7"/>
  <c r="P17" i="7"/>
  <c r="D75" i="3"/>
  <c r="D59" i="3"/>
  <c r="D78" i="3"/>
  <c r="D68" i="3"/>
  <c r="D53" i="3"/>
  <c r="D56" i="3"/>
  <c r="P7" i="13"/>
  <c r="P20" i="13"/>
  <c r="P12" i="13"/>
  <c r="P19" i="7"/>
  <c r="D50" i="3"/>
  <c r="D54" i="3"/>
  <c r="D70" i="3"/>
  <c r="D80" i="3"/>
  <c r="D81" i="3"/>
  <c r="D47" i="3"/>
  <c r="P10" i="13"/>
  <c r="P20" i="7"/>
  <c r="P13" i="13"/>
  <c r="P13" i="7"/>
  <c r="D71" i="3"/>
  <c r="D58" i="3"/>
  <c r="D49" i="3"/>
  <c r="D52" i="3"/>
  <c r="D60" i="3"/>
  <c r="D77" i="3"/>
  <c r="P19" i="13"/>
  <c r="P14" i="13"/>
  <c r="D22" i="24"/>
  <c r="D16" i="24"/>
  <c r="D19" i="24"/>
  <c r="P21" i="13"/>
  <c r="D13" i="24"/>
  <c r="D17" i="24"/>
  <c r="D10" i="24"/>
  <c r="D21" i="24"/>
  <c r="D12" i="24"/>
  <c r="D15" i="24"/>
  <c r="D23" i="24"/>
  <c r="D20" i="24"/>
  <c r="P22" i="13" l="1"/>
  <c r="D72" i="3"/>
  <c r="D41" i="24"/>
  <c r="D61" i="24"/>
  <c r="D99" i="24"/>
  <c r="D33" i="24"/>
  <c r="D91" i="24"/>
  <c r="D53" i="24"/>
  <c r="D40" i="24"/>
  <c r="D98" i="24"/>
  <c r="D60" i="24"/>
  <c r="D14" i="24"/>
  <c r="D100" i="24"/>
  <c r="D62" i="24"/>
  <c r="D42" i="24"/>
  <c r="D31" i="24"/>
  <c r="D89" i="24"/>
  <c r="D51" i="24"/>
  <c r="D57" i="24"/>
  <c r="D37" i="24"/>
  <c r="D95" i="24"/>
  <c r="D102" i="24"/>
  <c r="D44" i="24"/>
  <c r="D64" i="24"/>
  <c r="D58" i="24"/>
  <c r="D96" i="24"/>
  <c r="D38" i="24"/>
  <c r="D56" i="24"/>
  <c r="D36" i="24"/>
  <c r="D94" i="24"/>
  <c r="D54" i="24"/>
  <c r="D34" i="24"/>
  <c r="D92" i="24"/>
  <c r="D43" i="24"/>
  <c r="D63" i="24"/>
  <c r="D101" i="24"/>
  <c r="P57" i="3" l="1"/>
  <c r="P70" i="3"/>
  <c r="P78" i="3"/>
  <c r="P49" i="3"/>
  <c r="P12" i="24"/>
  <c r="P91" i="24" s="1"/>
  <c r="P55" i="18"/>
  <c r="D93" i="24"/>
  <c r="D55" i="24"/>
  <c r="D35" i="24"/>
  <c r="P63" i="18"/>
  <c r="P20" i="24"/>
  <c r="P99" i="24" s="1"/>
  <c r="P47" i="3" l="1"/>
  <c r="P81" i="3"/>
  <c r="P71" i="3"/>
  <c r="P77" i="3"/>
  <c r="P58" i="3"/>
  <c r="P42" i="18"/>
  <c r="P51" i="3"/>
  <c r="P68" i="3"/>
  <c r="P60" i="3"/>
  <c r="P50" i="3"/>
  <c r="P56" i="3"/>
  <c r="P73" i="3"/>
  <c r="P75" i="3"/>
  <c r="P80" i="3"/>
  <c r="P74" i="3"/>
  <c r="P79" i="3"/>
  <c r="P52" i="3"/>
  <c r="P54" i="3"/>
  <c r="P59" i="3"/>
  <c r="P53" i="3"/>
  <c r="P18" i="7"/>
  <c r="P34" i="18"/>
  <c r="P76" i="18" s="1"/>
  <c r="P84" i="18"/>
  <c r="P10" i="24"/>
  <c r="P89" i="24" s="1"/>
  <c r="P53" i="18"/>
  <c r="P21" i="24"/>
  <c r="P100" i="24" s="1"/>
  <c r="P64" i="18"/>
  <c r="P66" i="18"/>
  <c r="P23" i="24"/>
  <c r="P102" i="24" s="1"/>
  <c r="P56" i="18"/>
  <c r="P13" i="24"/>
  <c r="P92" i="24" s="1"/>
  <c r="P19" i="24"/>
  <c r="P98" i="24" s="1"/>
  <c r="P62" i="18"/>
  <c r="P58" i="18"/>
  <c r="P15" i="24"/>
  <c r="P94" i="24" s="1"/>
  <c r="P17" i="24"/>
  <c r="P96" i="24" s="1"/>
  <c r="P60" i="18"/>
  <c r="P65" i="18"/>
  <c r="P22" i="24"/>
  <c r="P101" i="24" s="1"/>
  <c r="P59" i="18"/>
  <c r="P16" i="24"/>
  <c r="P95" i="24" s="1"/>
  <c r="P72" i="3" l="1"/>
  <c r="P57" i="18" s="1"/>
  <c r="P37" i="18"/>
  <c r="P79" i="18" s="1"/>
  <c r="P45" i="18"/>
  <c r="P87" i="18" s="1"/>
  <c r="P39" i="18"/>
  <c r="P81" i="18" s="1"/>
  <c r="P41" i="18"/>
  <c r="P83" i="18" s="1"/>
  <c r="P43" i="18"/>
  <c r="P85" i="18" s="1"/>
  <c r="P38" i="18"/>
  <c r="P80" i="18" s="1"/>
  <c r="P32" i="18"/>
  <c r="P44" i="18"/>
  <c r="P35" i="18"/>
  <c r="P86" i="18"/>
  <c r="P77" i="18"/>
  <c r="P14" i="24"/>
  <c r="P93" i="24" s="1"/>
  <c r="P74" i="18"/>
  <c r="P36" i="18" l="1"/>
  <c r="P78" i="18" s="1"/>
  <c r="AF6" i="23" l="1"/>
  <c r="AH6" i="23"/>
  <c r="AG6" i="23"/>
  <c r="AG9" i="23"/>
  <c r="P9" i="23" s="1"/>
  <c r="P30" i="23" s="1"/>
  <c r="AH9" i="23"/>
  <c r="Q9" i="23" s="1"/>
  <c r="Q30" i="23" s="1"/>
  <c r="AF9" i="23"/>
  <c r="O9" i="23" s="1"/>
  <c r="O30" i="23" s="1"/>
  <c r="AG15" i="23"/>
  <c r="P15" i="23" s="1"/>
  <c r="P36" i="23" s="1"/>
  <c r="AF15" i="23"/>
  <c r="O15" i="23" s="1"/>
  <c r="O36" i="23" s="1"/>
  <c r="AH15" i="23"/>
  <c r="Q15" i="23" s="1"/>
  <c r="Q36" i="23" s="1"/>
  <c r="AF7" i="23"/>
  <c r="O7" i="23" s="1"/>
  <c r="O28" i="23" s="1"/>
  <c r="AH7" i="23"/>
  <c r="Q7" i="23" s="1"/>
  <c r="Q28" i="23" s="1"/>
  <c r="AG7" i="23"/>
  <c r="P7" i="23" s="1"/>
  <c r="P28" i="23" s="1"/>
  <c r="AH17" i="23"/>
  <c r="Q17" i="23" s="1"/>
  <c r="Q38" i="23" s="1"/>
  <c r="AG17" i="23"/>
  <c r="P17" i="23" s="1"/>
  <c r="P38" i="23" s="1"/>
  <c r="AF17" i="23"/>
  <c r="O17" i="23" s="1"/>
  <c r="O38" i="23" s="1"/>
  <c r="AG19" i="23"/>
  <c r="P19" i="23" s="1"/>
  <c r="P40" i="23" s="1"/>
  <c r="AF19" i="23"/>
  <c r="O19" i="23" s="1"/>
  <c r="O40" i="23" s="1"/>
  <c r="AH19" i="23"/>
  <c r="Q19" i="23" s="1"/>
  <c r="Q40" i="23" s="1"/>
  <c r="AH16" i="23"/>
  <c r="Q16" i="23" s="1"/>
  <c r="Q37" i="23" s="1"/>
  <c r="AG16" i="23"/>
  <c r="P16" i="23" s="1"/>
  <c r="P37" i="23" s="1"/>
  <c r="AF16" i="23"/>
  <c r="O16" i="23" s="1"/>
  <c r="O37" i="23" s="1"/>
  <c r="AH10" i="23"/>
  <c r="Q10" i="23" s="1"/>
  <c r="Q31" i="23" s="1"/>
  <c r="AF10" i="23"/>
  <c r="O10" i="23" s="1"/>
  <c r="O31" i="23" s="1"/>
  <c r="AG10" i="23"/>
  <c r="P10" i="23" s="1"/>
  <c r="P31" i="23" s="1"/>
  <c r="AF12" i="23"/>
  <c r="O12" i="23" s="1"/>
  <c r="O33" i="23" s="1"/>
  <c r="AH12" i="23"/>
  <c r="Q12" i="23" s="1"/>
  <c r="Q33" i="23" s="1"/>
  <c r="AG12" i="23"/>
  <c r="P12" i="23" s="1"/>
  <c r="P33" i="23" s="1"/>
  <c r="AG14" i="23"/>
  <c r="P14" i="23" s="1"/>
  <c r="P35" i="23" s="1"/>
  <c r="AH14" i="23"/>
  <c r="Q14" i="23" s="1"/>
  <c r="Q35" i="23" s="1"/>
  <c r="AF14" i="23"/>
  <c r="O14" i="23" s="1"/>
  <c r="O35" i="23" s="1"/>
  <c r="AH11" i="23"/>
  <c r="Q11" i="23" s="1"/>
  <c r="Q32" i="23" s="1"/>
  <c r="AF11" i="23"/>
  <c r="O11" i="23" s="1"/>
  <c r="O32" i="23" s="1"/>
  <c r="AG11" i="23"/>
  <c r="P11" i="23" s="1"/>
  <c r="P32" i="23" s="1"/>
  <c r="AH8" i="23"/>
  <c r="Q8" i="23" s="1"/>
  <c r="Q29" i="23" s="1"/>
  <c r="AF8" i="23"/>
  <c r="O8" i="23" s="1"/>
  <c r="O29" i="23" s="1"/>
  <c r="AG8" i="23"/>
  <c r="P8" i="23" s="1"/>
  <c r="P29" i="23" s="1"/>
  <c r="AF13" i="23"/>
  <c r="O13" i="23" s="1"/>
  <c r="O34" i="23" s="1"/>
  <c r="AG13" i="23"/>
  <c r="P13" i="23" s="1"/>
  <c r="P34" i="23" s="1"/>
  <c r="AH13" i="23"/>
  <c r="Q13" i="23" s="1"/>
  <c r="Q34" i="23" s="1"/>
  <c r="AF18" i="23"/>
  <c r="O18" i="23" s="1"/>
  <c r="O39" i="23" s="1"/>
  <c r="AG18" i="23"/>
  <c r="P18" i="23" s="1"/>
  <c r="P39" i="23" s="1"/>
  <c r="AH18" i="23"/>
  <c r="Q18" i="23" s="1"/>
  <c r="Q39" i="23" s="1"/>
  <c r="O81" i="19" l="1"/>
  <c r="O81" i="17"/>
  <c r="P71" i="19"/>
  <c r="P71" i="17"/>
  <c r="O74" i="17"/>
  <c r="O74" i="19"/>
  <c r="P77" i="19"/>
  <c r="P77" i="17"/>
  <c r="P73" i="17"/>
  <c r="P73" i="19"/>
  <c r="P79" i="17"/>
  <c r="P79" i="19"/>
  <c r="P82" i="17"/>
  <c r="P82" i="19"/>
  <c r="P70" i="19"/>
  <c r="P70" i="17"/>
  <c r="O78" i="19"/>
  <c r="O78" i="17"/>
  <c r="P72" i="19"/>
  <c r="P72" i="17"/>
  <c r="Q76" i="19"/>
  <c r="Q76" i="17"/>
  <c r="Q76" i="8" s="1"/>
  <c r="O71" i="19"/>
  <c r="O71" i="17"/>
  <c r="Q74" i="17"/>
  <c r="Q74" i="19"/>
  <c r="P75" i="17"/>
  <c r="P75" i="19"/>
  <c r="O73" i="19"/>
  <c r="O73" i="17"/>
  <c r="Q79" i="19"/>
  <c r="Q79" i="17"/>
  <c r="O80" i="17"/>
  <c r="O80" i="19"/>
  <c r="Q70" i="17"/>
  <c r="Q70" i="19"/>
  <c r="P78" i="19"/>
  <c r="P78" i="17"/>
  <c r="P6" i="23"/>
  <c r="AG20" i="23"/>
  <c r="Q81" i="17"/>
  <c r="Q81" i="19"/>
  <c r="P76" i="19"/>
  <c r="P76" i="17"/>
  <c r="Q71" i="19"/>
  <c r="Q71" i="17"/>
  <c r="O77" i="19"/>
  <c r="O77" i="17"/>
  <c r="Q75" i="17"/>
  <c r="Q75" i="19"/>
  <c r="Q73" i="19"/>
  <c r="Q73" i="17"/>
  <c r="Q82" i="19"/>
  <c r="Q82" i="17"/>
  <c r="P80" i="17"/>
  <c r="P80" i="19"/>
  <c r="O70" i="17"/>
  <c r="O70" i="19"/>
  <c r="O72" i="17"/>
  <c r="O72" i="19"/>
  <c r="Q6" i="23"/>
  <c r="AH20" i="23"/>
  <c r="P81" i="17"/>
  <c r="P81" i="19"/>
  <c r="O76" i="17"/>
  <c r="O76" i="19"/>
  <c r="P74" i="19"/>
  <c r="P74" i="17"/>
  <c r="Q77" i="19"/>
  <c r="Q77" i="17"/>
  <c r="O75" i="17"/>
  <c r="O75" i="19"/>
  <c r="O79" i="17"/>
  <c r="O79" i="19"/>
  <c r="O82" i="19"/>
  <c r="O82" i="17"/>
  <c r="Q80" i="19"/>
  <c r="Q80" i="17"/>
  <c r="Q78" i="19"/>
  <c r="Q78" i="17"/>
  <c r="Q72" i="17"/>
  <c r="Q72" i="19"/>
  <c r="O6" i="23"/>
  <c r="AF20" i="23"/>
  <c r="N17" i="13" l="1"/>
  <c r="N16" i="13"/>
  <c r="N10" i="13"/>
  <c r="N9" i="13"/>
  <c r="N16" i="7"/>
  <c r="N19" i="7"/>
  <c r="N11" i="7"/>
  <c r="I9" i="7"/>
  <c r="I12" i="7"/>
  <c r="J11" i="7"/>
  <c r="J12" i="7"/>
  <c r="J20" i="7"/>
  <c r="K20" i="7"/>
  <c r="K16" i="7"/>
  <c r="L20" i="7"/>
  <c r="L11" i="7"/>
  <c r="L7" i="7"/>
  <c r="M11" i="7"/>
  <c r="M12" i="7"/>
  <c r="N8" i="13"/>
  <c r="N14" i="13"/>
  <c r="N9" i="7"/>
  <c r="N7" i="7"/>
  <c r="N13" i="7"/>
  <c r="I13" i="7"/>
  <c r="I10" i="7"/>
  <c r="I20" i="7"/>
  <c r="J14" i="7"/>
  <c r="J13" i="7"/>
  <c r="J16" i="7"/>
  <c r="K14" i="7"/>
  <c r="K11" i="7"/>
  <c r="K17" i="7"/>
  <c r="L10" i="7"/>
  <c r="L17" i="7"/>
  <c r="M7" i="7"/>
  <c r="M14" i="7"/>
  <c r="M9" i="7"/>
  <c r="N19" i="13"/>
  <c r="N15" i="13"/>
  <c r="N12" i="13"/>
  <c r="N18" i="13"/>
  <c r="N7" i="13"/>
  <c r="N17" i="7"/>
  <c r="N12" i="7"/>
  <c r="N20" i="7"/>
  <c r="I14" i="7"/>
  <c r="I17" i="7"/>
  <c r="I16" i="7"/>
  <c r="J19" i="7"/>
  <c r="J7" i="7"/>
  <c r="K13" i="7"/>
  <c r="K7" i="7"/>
  <c r="K10" i="7"/>
  <c r="L9" i="7"/>
  <c r="L19" i="7"/>
  <c r="L16" i="7"/>
  <c r="M10" i="7"/>
  <c r="M13" i="7"/>
  <c r="M20" i="7"/>
  <c r="N13" i="13"/>
  <c r="N11" i="13"/>
  <c r="N20" i="13"/>
  <c r="N14" i="7"/>
  <c r="N10" i="7"/>
  <c r="I7" i="7"/>
  <c r="I11" i="7"/>
  <c r="I19" i="7"/>
  <c r="J10" i="7"/>
  <c r="J17" i="7"/>
  <c r="J9" i="7"/>
  <c r="K12" i="7"/>
  <c r="K19" i="7"/>
  <c r="K9" i="7"/>
  <c r="L12" i="7"/>
  <c r="L14" i="7"/>
  <c r="L13" i="7"/>
  <c r="M19" i="7"/>
  <c r="M16" i="7"/>
  <c r="M17" i="7"/>
  <c r="N7" i="11"/>
  <c r="N20" i="11"/>
  <c r="N14" i="11"/>
  <c r="N10" i="11"/>
  <c r="N9" i="11"/>
  <c r="N12" i="11"/>
  <c r="G9" i="7"/>
  <c r="H9" i="7"/>
  <c r="F9" i="7"/>
  <c r="E9" i="7"/>
  <c r="P9" i="11"/>
  <c r="E12" i="7"/>
  <c r="G12" i="7"/>
  <c r="F12" i="7"/>
  <c r="H12" i="7"/>
  <c r="P12" i="11"/>
  <c r="J11" i="11"/>
  <c r="J12" i="11"/>
  <c r="J20" i="11"/>
  <c r="K20" i="11"/>
  <c r="K16" i="11"/>
  <c r="L20" i="11"/>
  <c r="L11" i="11"/>
  <c r="L7" i="11"/>
  <c r="M11" i="11"/>
  <c r="M12" i="11"/>
  <c r="Q78" i="8"/>
  <c r="O82" i="8"/>
  <c r="P74" i="8"/>
  <c r="Q73" i="8"/>
  <c r="O77" i="8"/>
  <c r="P76" i="8"/>
  <c r="Q79" i="8"/>
  <c r="O71" i="8"/>
  <c r="P72" i="8"/>
  <c r="P70" i="8"/>
  <c r="P77" i="8"/>
  <c r="P71" i="8"/>
  <c r="F13" i="7"/>
  <c r="E13" i="7"/>
  <c r="G13" i="7"/>
  <c r="H13" i="7"/>
  <c r="P13" i="11"/>
  <c r="H10" i="7"/>
  <c r="F10" i="7"/>
  <c r="E10" i="7"/>
  <c r="G10" i="7"/>
  <c r="P10" i="11"/>
  <c r="H20" i="7"/>
  <c r="G20" i="7"/>
  <c r="F20" i="7"/>
  <c r="E20" i="7"/>
  <c r="P20" i="11"/>
  <c r="J14" i="11"/>
  <c r="J13" i="11"/>
  <c r="J16" i="11"/>
  <c r="K14" i="11"/>
  <c r="K11" i="11"/>
  <c r="K17" i="11"/>
  <c r="L10" i="11"/>
  <c r="L17" i="11"/>
  <c r="M7" i="11"/>
  <c r="M14" i="11"/>
  <c r="M9" i="11"/>
  <c r="O20" i="23"/>
  <c r="O27" i="23"/>
  <c r="O75" i="8"/>
  <c r="P81" i="8"/>
  <c r="O72" i="8"/>
  <c r="P80" i="8"/>
  <c r="P27" i="23"/>
  <c r="P20" i="23"/>
  <c r="Q70" i="8"/>
  <c r="P75" i="8"/>
  <c r="P79" i="8"/>
  <c r="N21" i="13"/>
  <c r="H14" i="7"/>
  <c r="G14" i="7"/>
  <c r="F14" i="7"/>
  <c r="E14" i="7"/>
  <c r="P14" i="11"/>
  <c r="H17" i="7"/>
  <c r="G17" i="7"/>
  <c r="F17" i="7"/>
  <c r="E17" i="7"/>
  <c r="P17" i="11"/>
  <c r="H16" i="7"/>
  <c r="G16" i="7"/>
  <c r="F16" i="7"/>
  <c r="E16" i="7"/>
  <c r="P16" i="11"/>
  <c r="J19" i="11"/>
  <c r="J7" i="11"/>
  <c r="K13" i="11"/>
  <c r="K7" i="11"/>
  <c r="K10" i="11"/>
  <c r="L9" i="11"/>
  <c r="L19" i="11"/>
  <c r="L16" i="11"/>
  <c r="M10" i="11"/>
  <c r="M13" i="11"/>
  <c r="M20" i="11"/>
  <c r="Q80" i="8"/>
  <c r="Q77" i="8"/>
  <c r="Q82" i="8"/>
  <c r="Q71" i="8"/>
  <c r="P78" i="8"/>
  <c r="O73" i="8"/>
  <c r="O78" i="8"/>
  <c r="O81" i="8"/>
  <c r="H7" i="7"/>
  <c r="F7" i="7"/>
  <c r="E7" i="7"/>
  <c r="G7" i="7"/>
  <c r="P7" i="11"/>
  <c r="F11" i="7"/>
  <c r="E11" i="7"/>
  <c r="G11" i="7"/>
  <c r="H11" i="7"/>
  <c r="P11" i="11"/>
  <c r="G19" i="7"/>
  <c r="F19" i="7"/>
  <c r="H19" i="7"/>
  <c r="E19" i="7"/>
  <c r="P19" i="11"/>
  <c r="J10" i="11"/>
  <c r="J17" i="11"/>
  <c r="J9" i="11"/>
  <c r="K12" i="11"/>
  <c r="K19" i="11"/>
  <c r="K9" i="11"/>
  <c r="L12" i="11"/>
  <c r="L14" i="11"/>
  <c r="L13" i="11"/>
  <c r="M19" i="11"/>
  <c r="M16" i="11"/>
  <c r="M17" i="11"/>
  <c r="Q72" i="8"/>
  <c r="O79" i="8"/>
  <c r="O76" i="8"/>
  <c r="Q27" i="23"/>
  <c r="Q20" i="23"/>
  <c r="O70" i="8"/>
  <c r="Q75" i="8"/>
  <c r="Q81" i="8"/>
  <c r="O80" i="8"/>
  <c r="Q74" i="8"/>
  <c r="P82" i="8"/>
  <c r="P73" i="8"/>
  <c r="O74" i="8"/>
  <c r="N12" i="25"/>
  <c r="N207" i="25"/>
  <c r="N117" i="25"/>
  <c r="N57" i="25"/>
  <c r="N42" i="25"/>
  <c r="N87" i="25"/>
  <c r="P87" i="25"/>
  <c r="K207" i="25"/>
  <c r="L12" i="25"/>
  <c r="P57" i="25"/>
  <c r="J147" i="25"/>
  <c r="L57" i="25"/>
  <c r="M42" i="25"/>
  <c r="P162" i="25"/>
  <c r="K102" i="25"/>
  <c r="L192" i="25"/>
  <c r="M207" i="25"/>
  <c r="P72" i="25"/>
  <c r="J42" i="25"/>
  <c r="L87" i="25"/>
  <c r="M147" i="25"/>
  <c r="J72" i="25"/>
  <c r="K147" i="25"/>
  <c r="M72" i="25"/>
  <c r="P207" i="25"/>
  <c r="K117" i="25"/>
  <c r="L162" i="25"/>
  <c r="P147" i="25"/>
  <c r="K12" i="25"/>
  <c r="L147" i="25"/>
  <c r="P192" i="25"/>
  <c r="K87" i="25"/>
  <c r="L117" i="25"/>
  <c r="M162" i="25"/>
  <c r="J87" i="25"/>
  <c r="L207" i="25"/>
  <c r="M87" i="25"/>
  <c r="J117" i="25"/>
  <c r="K72" i="25"/>
  <c r="M12" i="25"/>
  <c r="J192" i="25"/>
  <c r="K57" i="25"/>
  <c r="M57" i="25"/>
  <c r="J57" i="25"/>
  <c r="K192" i="25"/>
  <c r="L102" i="25"/>
  <c r="P42" i="25"/>
  <c r="J207" i="25"/>
  <c r="L72" i="25"/>
  <c r="P102" i="25"/>
  <c r="J102" i="25"/>
  <c r="K162" i="25"/>
  <c r="M117" i="25"/>
  <c r="P117" i="25"/>
  <c r="J12" i="25"/>
  <c r="L42" i="25"/>
  <c r="M102" i="25"/>
  <c r="P12" i="25"/>
  <c r="J162" i="25"/>
  <c r="K42" i="25"/>
  <c r="M192" i="25"/>
  <c r="N51" i="3" l="1"/>
  <c r="N22" i="13"/>
  <c r="N57" i="3"/>
  <c r="N20" i="24" s="1"/>
  <c r="N99" i="24" s="1"/>
  <c r="N73" i="3"/>
  <c r="N78" i="3"/>
  <c r="O9" i="13"/>
  <c r="O18" i="13"/>
  <c r="O15" i="13"/>
  <c r="O20" i="7"/>
  <c r="O20" i="11" s="1"/>
  <c r="O11" i="7"/>
  <c r="O11" i="11" s="1"/>
  <c r="N13" i="11"/>
  <c r="N47" i="3"/>
  <c r="N49" i="3"/>
  <c r="N55" i="18" s="1"/>
  <c r="N60" i="3"/>
  <c r="N68" i="3"/>
  <c r="N10" i="24" s="1"/>
  <c r="N89" i="24" s="1"/>
  <c r="N70" i="3"/>
  <c r="O11" i="13"/>
  <c r="O10" i="13"/>
  <c r="O16" i="13"/>
  <c r="O16" i="7"/>
  <c r="O16" i="11" s="1"/>
  <c r="O13" i="7"/>
  <c r="O13" i="11" s="1"/>
  <c r="N17" i="11"/>
  <c r="N19" i="11"/>
  <c r="N54" i="3"/>
  <c r="N17" i="24" s="1"/>
  <c r="N96" i="24" s="1"/>
  <c r="N53" i="3"/>
  <c r="N59" i="3"/>
  <c r="N65" i="18" s="1"/>
  <c r="N56" i="3"/>
  <c r="N75" i="3"/>
  <c r="N77" i="3"/>
  <c r="N74" i="3"/>
  <c r="N59" i="18" s="1"/>
  <c r="N71" i="3"/>
  <c r="O20" i="13"/>
  <c r="O13" i="13"/>
  <c r="O8" i="13"/>
  <c r="O9" i="7"/>
  <c r="O9" i="11" s="1"/>
  <c r="O17" i="7"/>
  <c r="O17" i="11" s="1"/>
  <c r="O14" i="7"/>
  <c r="O14" i="11" s="1"/>
  <c r="N50" i="3"/>
  <c r="N52" i="3"/>
  <c r="N80" i="3"/>
  <c r="O14" i="13"/>
  <c r="O19" i="13"/>
  <c r="O12" i="13"/>
  <c r="O12" i="7"/>
  <c r="O12" i="11" s="1"/>
  <c r="O19" i="7"/>
  <c r="O19" i="11" s="1"/>
  <c r="N81" i="3"/>
  <c r="N11" i="11"/>
  <c r="N16" i="11"/>
  <c r="N16" i="24"/>
  <c r="N95" i="24" s="1"/>
  <c r="N62" i="18"/>
  <c r="N19" i="24"/>
  <c r="N98" i="24" s="1"/>
  <c r="N56" i="18"/>
  <c r="N13" i="24"/>
  <c r="N92" i="24" s="1"/>
  <c r="N15" i="24"/>
  <c r="N94" i="24" s="1"/>
  <c r="N58" i="18"/>
  <c r="Q69" i="17"/>
  <c r="Q69" i="19"/>
  <c r="Q41" i="23"/>
  <c r="O41" i="23"/>
  <c r="O69" i="19"/>
  <c r="O69" i="17"/>
  <c r="N63" i="18"/>
  <c r="P41" i="23"/>
  <c r="P69" i="17"/>
  <c r="P69" i="19"/>
  <c r="N53" i="18"/>
  <c r="N23" i="24"/>
  <c r="N102" i="24" s="1"/>
  <c r="N66" i="18"/>
  <c r="O207" i="25"/>
  <c r="O102" i="25"/>
  <c r="O162" i="25"/>
  <c r="O192" i="25"/>
  <c r="O72" i="25"/>
  <c r="N102" i="25"/>
  <c r="O147" i="25"/>
  <c r="N162" i="25"/>
  <c r="O42" i="25"/>
  <c r="O117" i="25"/>
  <c r="N147" i="25"/>
  <c r="N192" i="25"/>
  <c r="O87" i="25"/>
  <c r="N72" i="25"/>
  <c r="N44" i="18" l="1"/>
  <c r="N38" i="18"/>
  <c r="N80" i="18" s="1"/>
  <c r="N34" i="18"/>
  <c r="N76" i="18" s="1"/>
  <c r="N72" i="3"/>
  <c r="N57" i="18" s="1"/>
  <c r="O51" i="3"/>
  <c r="O77" i="3"/>
  <c r="O7" i="7"/>
  <c r="O7" i="11" s="1"/>
  <c r="O59" i="3"/>
  <c r="O70" i="3"/>
  <c r="O49" i="3"/>
  <c r="N12" i="24"/>
  <c r="N91" i="24" s="1"/>
  <c r="O53" i="3"/>
  <c r="N41" i="18"/>
  <c r="N45" i="18"/>
  <c r="N32" i="18"/>
  <c r="Q10" i="7"/>
  <c r="Q10" i="11" s="1"/>
  <c r="O54" i="3"/>
  <c r="O10" i="7"/>
  <c r="O10" i="11" s="1"/>
  <c r="O56" i="3"/>
  <c r="O50" i="3"/>
  <c r="O71" i="3"/>
  <c r="N22" i="24"/>
  <c r="N101" i="24" s="1"/>
  <c r="N60" i="18"/>
  <c r="N58" i="3"/>
  <c r="O52" i="3"/>
  <c r="N18" i="7"/>
  <c r="N39" i="18"/>
  <c r="N81" i="18" s="1"/>
  <c r="N37" i="18"/>
  <c r="N79" i="3"/>
  <c r="N42" i="18"/>
  <c r="N35" i="18"/>
  <c r="N77" i="18" s="1"/>
  <c r="O17" i="13"/>
  <c r="O75" i="3"/>
  <c r="O80" i="3"/>
  <c r="O73" i="3"/>
  <c r="O57" i="3"/>
  <c r="O74" i="3"/>
  <c r="O7" i="13"/>
  <c r="O78" i="3"/>
  <c r="N86" i="18"/>
  <c r="N87" i="18"/>
  <c r="N83" i="18"/>
  <c r="N79" i="18"/>
  <c r="N84" i="18"/>
  <c r="O65" i="18"/>
  <c r="O22" i="24"/>
  <c r="O101" i="24" s="1"/>
  <c r="O12" i="24"/>
  <c r="O91" i="24" s="1"/>
  <c r="O55" i="18"/>
  <c r="P69" i="8"/>
  <c r="P83" i="17"/>
  <c r="N74" i="18"/>
  <c r="O17" i="24"/>
  <c r="O96" i="24" s="1"/>
  <c r="O60" i="18"/>
  <c r="O19" i="24"/>
  <c r="O98" i="24" s="1"/>
  <c r="O62" i="18"/>
  <c r="O13" i="24"/>
  <c r="O92" i="24" s="1"/>
  <c r="O56" i="18"/>
  <c r="O83" i="17"/>
  <c r="O69" i="8"/>
  <c r="Q83" i="19"/>
  <c r="O63" i="18"/>
  <c r="O20" i="24"/>
  <c r="O99" i="24" s="1"/>
  <c r="O83" i="19"/>
  <c r="Q69" i="8"/>
  <c r="Q83" i="17"/>
  <c r="N21" i="24"/>
  <c r="N100" i="24" s="1"/>
  <c r="N64" i="18"/>
  <c r="O58" i="18"/>
  <c r="O15" i="24"/>
  <c r="O94" i="24" s="1"/>
  <c r="O21" i="13"/>
  <c r="O16" i="24"/>
  <c r="O95" i="24" s="1"/>
  <c r="O59" i="18"/>
  <c r="P83" i="19"/>
  <c r="N14" i="24"/>
  <c r="N93" i="24" s="1"/>
  <c r="Q57" i="25"/>
  <c r="O57" i="25"/>
  <c r="O12" i="25"/>
  <c r="Q13" i="7" l="1"/>
  <c r="Q13" i="11" s="1"/>
  <c r="Q9" i="7"/>
  <c r="Q9" i="11" s="1"/>
  <c r="Q17" i="7"/>
  <c r="Q17" i="11" s="1"/>
  <c r="O22" i="13"/>
  <c r="O68" i="3"/>
  <c r="O37" i="18"/>
  <c r="N43" i="18"/>
  <c r="Q20" i="7"/>
  <c r="Q20" i="11" s="1"/>
  <c r="Q7" i="7"/>
  <c r="Q7" i="11" s="1"/>
  <c r="Q12" i="7"/>
  <c r="Q12" i="11" s="1"/>
  <c r="O60" i="3"/>
  <c r="O18" i="7"/>
  <c r="O47" i="3"/>
  <c r="O79" i="3"/>
  <c r="O38" i="18"/>
  <c r="O80" i="18" s="1"/>
  <c r="N36" i="18"/>
  <c r="N78" i="18" s="1"/>
  <c r="Q16" i="7"/>
  <c r="Q16" i="11" s="1"/>
  <c r="Q11" i="7"/>
  <c r="Q11" i="11" s="1"/>
  <c r="O72" i="3"/>
  <c r="O57" i="18" s="1"/>
  <c r="O58" i="3"/>
  <c r="O41" i="18"/>
  <c r="O83" i="18" s="1"/>
  <c r="O42" i="18"/>
  <c r="O44" i="18"/>
  <c r="O35" i="18"/>
  <c r="Q19" i="7"/>
  <c r="Q19" i="11" s="1"/>
  <c r="Q14" i="7"/>
  <c r="Q14" i="11" s="1"/>
  <c r="O81" i="3"/>
  <c r="O39" i="18"/>
  <c r="O34" i="18"/>
  <c r="O79" i="18"/>
  <c r="O76" i="18"/>
  <c r="O84" i="18"/>
  <c r="O86" i="18"/>
  <c r="O77" i="18"/>
  <c r="N85" i="18"/>
  <c r="O81" i="18"/>
  <c r="O66" i="18"/>
  <c r="O23" i="24"/>
  <c r="O102" i="24" s="1"/>
  <c r="O53" i="18"/>
  <c r="O10" i="24"/>
  <c r="O89" i="24" s="1"/>
  <c r="Q83" i="8"/>
  <c r="O83" i="8"/>
  <c r="O21" i="24"/>
  <c r="O100" i="24" s="1"/>
  <c r="O64" i="18"/>
  <c r="P83" i="8"/>
  <c r="O14" i="24"/>
  <c r="O93" i="24" s="1"/>
  <c r="Q207" i="25"/>
  <c r="Q87" i="25"/>
  <c r="Q147" i="25"/>
  <c r="Q102" i="25"/>
  <c r="Q162" i="25"/>
  <c r="Q192" i="25"/>
  <c r="Q12" i="25"/>
  <c r="Q72" i="25"/>
  <c r="Q42" i="25"/>
  <c r="Q117" i="25"/>
  <c r="O32" i="18" l="1"/>
  <c r="O36" i="18"/>
  <c r="O78" i="18" s="1"/>
  <c r="O43" i="18"/>
  <c r="O45" i="18"/>
  <c r="O87" i="18"/>
  <c r="O85" i="18"/>
  <c r="O74" i="18"/>
  <c r="M19" i="13" l="1"/>
  <c r="M20" i="13"/>
  <c r="M16" i="13"/>
  <c r="M17" i="13"/>
  <c r="M8" i="13"/>
  <c r="M18" i="13"/>
  <c r="M10" i="13"/>
  <c r="M15" i="13"/>
  <c r="M14" i="13"/>
  <c r="M13" i="13"/>
  <c r="M9" i="13"/>
  <c r="M11" i="13"/>
  <c r="M7" i="13"/>
  <c r="M12" i="13"/>
  <c r="M21" i="13"/>
  <c r="L9" i="13" l="1"/>
  <c r="L18" i="13"/>
  <c r="L14" i="13"/>
  <c r="M60" i="3"/>
  <c r="M57" i="3"/>
  <c r="M54" i="3"/>
  <c r="M77" i="3"/>
  <c r="M68" i="3"/>
  <c r="M74" i="3"/>
  <c r="L8" i="13"/>
  <c r="L20" i="13"/>
  <c r="L12" i="13"/>
  <c r="L10" i="13"/>
  <c r="M81" i="3"/>
  <c r="M70" i="3"/>
  <c r="M51" i="3"/>
  <c r="M53" i="3"/>
  <c r="L15" i="13"/>
  <c r="L13" i="13"/>
  <c r="L16" i="13"/>
  <c r="L7" i="13"/>
  <c r="M73" i="3"/>
  <c r="M80" i="3"/>
  <c r="M49" i="3"/>
  <c r="M71" i="3"/>
  <c r="L17" i="13"/>
  <c r="L19" i="13"/>
  <c r="L11" i="13"/>
  <c r="M78" i="3"/>
  <c r="M52" i="3"/>
  <c r="M75" i="3"/>
  <c r="M59" i="3"/>
  <c r="M22" i="13"/>
  <c r="M56" i="3"/>
  <c r="M50" i="3"/>
  <c r="M47" i="3"/>
  <c r="L21" i="13"/>
  <c r="M55" i="18"/>
  <c r="M12" i="24"/>
  <c r="M91" i="24" s="1"/>
  <c r="M58" i="18"/>
  <c r="M15" i="24"/>
  <c r="M94" i="24" s="1"/>
  <c r="M22" i="24"/>
  <c r="M101" i="24" s="1"/>
  <c r="M65" i="18"/>
  <c r="M62" i="18"/>
  <c r="M19" i="24"/>
  <c r="M98" i="24" s="1"/>
  <c r="M56" i="18"/>
  <c r="M13" i="24"/>
  <c r="M92" i="24" s="1"/>
  <c r="M10" i="24"/>
  <c r="M89" i="24" s="1"/>
  <c r="M53" i="18"/>
  <c r="M66" i="18"/>
  <c r="M23" i="24"/>
  <c r="M102" i="24" s="1"/>
  <c r="M20" i="24"/>
  <c r="M99" i="24" s="1"/>
  <c r="M63" i="18"/>
  <c r="M60" i="18"/>
  <c r="M17" i="24"/>
  <c r="M96" i="24" s="1"/>
  <c r="M16" i="24"/>
  <c r="M95" i="24" s="1"/>
  <c r="M59" i="18"/>
  <c r="J15" i="13" l="1"/>
  <c r="J13" i="13"/>
  <c r="J9" i="13"/>
  <c r="J17" i="13"/>
  <c r="K11" i="13"/>
  <c r="K10" i="13"/>
  <c r="K13" i="13"/>
  <c r="L52" i="3"/>
  <c r="L74" i="3"/>
  <c r="L53" i="3"/>
  <c r="L47" i="3"/>
  <c r="M44" i="18"/>
  <c r="M86" i="18" s="1"/>
  <c r="M18" i="7"/>
  <c r="M42" i="18"/>
  <c r="M84" i="18" s="1"/>
  <c r="M41" i="18"/>
  <c r="J20" i="13"/>
  <c r="J19" i="13"/>
  <c r="J11" i="13"/>
  <c r="K19" i="13"/>
  <c r="K16" i="13"/>
  <c r="K14" i="13"/>
  <c r="K15" i="13"/>
  <c r="L68" i="3"/>
  <c r="L49" i="3"/>
  <c r="L77" i="3"/>
  <c r="L56" i="3"/>
  <c r="L71" i="3"/>
  <c r="L51" i="3"/>
  <c r="L78" i="3"/>
  <c r="L60" i="3"/>
  <c r="M72" i="3"/>
  <c r="M14" i="24" s="1"/>
  <c r="M93" i="24" s="1"/>
  <c r="M58" i="3"/>
  <c r="M38" i="18"/>
  <c r="M80" i="18" s="1"/>
  <c r="J12" i="13"/>
  <c r="J18" i="13"/>
  <c r="J14" i="13"/>
  <c r="K8" i="13"/>
  <c r="K18" i="13"/>
  <c r="K9" i="13"/>
  <c r="K7" i="13"/>
  <c r="L59" i="3"/>
  <c r="L22" i="24" s="1"/>
  <c r="L101" i="24" s="1"/>
  <c r="L70" i="3"/>
  <c r="L80" i="3"/>
  <c r="L50" i="3"/>
  <c r="L81" i="3"/>
  <c r="L23" i="24" s="1"/>
  <c r="L102" i="24" s="1"/>
  <c r="M79" i="3"/>
  <c r="M37" i="18"/>
  <c r="M79" i="18" s="1"/>
  <c r="M45" i="18"/>
  <c r="M87" i="18" s="1"/>
  <c r="M39" i="18"/>
  <c r="M81" i="18" s="1"/>
  <c r="M35" i="18"/>
  <c r="M77" i="18" s="1"/>
  <c r="M32" i="18"/>
  <c r="M74" i="18" s="1"/>
  <c r="J10" i="13"/>
  <c r="J7" i="13"/>
  <c r="J16" i="13"/>
  <c r="J8" i="13"/>
  <c r="K17" i="13"/>
  <c r="K12" i="13"/>
  <c r="K20" i="13"/>
  <c r="L57" i="3"/>
  <c r="L20" i="24" s="1"/>
  <c r="L99" i="24" s="1"/>
  <c r="L73" i="3"/>
  <c r="L22" i="13"/>
  <c r="L75" i="3"/>
  <c r="L54" i="3"/>
  <c r="L17" i="24" s="1"/>
  <c r="L96" i="24" s="1"/>
  <c r="M34" i="18"/>
  <c r="M76" i="18" s="1"/>
  <c r="M83" i="18"/>
  <c r="J21" i="13"/>
  <c r="L60" i="18"/>
  <c r="L58" i="18"/>
  <c r="L15" i="24"/>
  <c r="L94" i="24" s="1"/>
  <c r="L16" i="24"/>
  <c r="L95" i="24" s="1"/>
  <c r="L59" i="18"/>
  <c r="L53" i="18"/>
  <c r="L10" i="24"/>
  <c r="L89" i="24" s="1"/>
  <c r="M57" i="18"/>
  <c r="L55" i="18"/>
  <c r="L12" i="24"/>
  <c r="L91" i="24" s="1"/>
  <c r="L19" i="24"/>
  <c r="L98" i="24" s="1"/>
  <c r="L62" i="18"/>
  <c r="L66" i="18"/>
  <c r="M64" i="18"/>
  <c r="M21" i="24"/>
  <c r="M100" i="24" s="1"/>
  <c r="K21" i="13"/>
  <c r="L65" i="18"/>
  <c r="L56" i="18"/>
  <c r="L13" i="24"/>
  <c r="L92" i="24" s="1"/>
  <c r="I19" i="13" l="1"/>
  <c r="J40" i="12" s="1"/>
  <c r="I7" i="13"/>
  <c r="J7" i="12" s="1"/>
  <c r="I20" i="13"/>
  <c r="K20" i="12" s="1"/>
  <c r="J51" i="3"/>
  <c r="K57" i="3"/>
  <c r="J54" i="3"/>
  <c r="K59" i="3"/>
  <c r="J78" i="3"/>
  <c r="J47" i="3"/>
  <c r="K50" i="3"/>
  <c r="J50" i="3"/>
  <c r="L44" i="18"/>
  <c r="L86" i="18" s="1"/>
  <c r="L42" i="18"/>
  <c r="L58" i="3"/>
  <c r="K68" i="3"/>
  <c r="K71" i="3"/>
  <c r="K75" i="3"/>
  <c r="I10" i="13"/>
  <c r="I16" i="13"/>
  <c r="I8" i="13"/>
  <c r="K54" i="3"/>
  <c r="J74" i="3"/>
  <c r="J53" i="3"/>
  <c r="K52" i="3"/>
  <c r="J70" i="3"/>
  <c r="J49" i="3"/>
  <c r="J75" i="3"/>
  <c r="K22" i="13"/>
  <c r="J52" i="3"/>
  <c r="L34" i="18"/>
  <c r="L37" i="18"/>
  <c r="M43" i="18"/>
  <c r="K81" i="3"/>
  <c r="K77" i="3"/>
  <c r="L32" i="18"/>
  <c r="I14" i="13"/>
  <c r="K14" i="12" s="1"/>
  <c r="I11" i="13"/>
  <c r="J11" i="12" s="1"/>
  <c r="I17" i="13"/>
  <c r="J38" i="12" s="1"/>
  <c r="I15" i="13"/>
  <c r="J15" i="12" s="1"/>
  <c r="J22" i="13"/>
  <c r="K56" i="3"/>
  <c r="J80" i="3"/>
  <c r="J60" i="3"/>
  <c r="J73" i="3"/>
  <c r="K53" i="3"/>
  <c r="J59" i="3"/>
  <c r="K60" i="3"/>
  <c r="J71" i="3"/>
  <c r="J58" i="3"/>
  <c r="L41" i="18"/>
  <c r="L83" i="18" s="1"/>
  <c r="M36" i="18"/>
  <c r="M78" i="18" s="1"/>
  <c r="L38" i="18"/>
  <c r="K78" i="3"/>
  <c r="L35" i="18"/>
  <c r="L77" i="18" s="1"/>
  <c r="K74" i="3"/>
  <c r="K73" i="3"/>
  <c r="L79" i="3"/>
  <c r="L63" i="18"/>
  <c r="I12" i="13"/>
  <c r="K12" i="12" s="1"/>
  <c r="I9" i="13"/>
  <c r="J9" i="12" s="1"/>
  <c r="I18" i="13"/>
  <c r="K18" i="12" s="1"/>
  <c r="I13" i="13"/>
  <c r="K47" i="3"/>
  <c r="J68" i="3"/>
  <c r="J57" i="3"/>
  <c r="K49" i="3"/>
  <c r="J81" i="3"/>
  <c r="J56" i="3"/>
  <c r="K51" i="3"/>
  <c r="J77" i="3"/>
  <c r="L39" i="18"/>
  <c r="L81" i="18" s="1"/>
  <c r="L18" i="7"/>
  <c r="L72" i="3"/>
  <c r="L14" i="24" s="1"/>
  <c r="L93" i="24" s="1"/>
  <c r="K80" i="3"/>
  <c r="K70" i="3"/>
  <c r="L45" i="18"/>
  <c r="L87" i="18" s="1"/>
  <c r="M85" i="18"/>
  <c r="L76" i="18"/>
  <c r="L80" i="18"/>
  <c r="L79" i="18"/>
  <c r="E10" i="13"/>
  <c r="G10" i="13"/>
  <c r="F10" i="13"/>
  <c r="H10" i="13"/>
  <c r="P10" i="12"/>
  <c r="P31" i="12"/>
  <c r="N31" i="12"/>
  <c r="N10" i="12"/>
  <c r="O31" i="12"/>
  <c r="O10" i="12"/>
  <c r="M31" i="12"/>
  <c r="M10" i="12"/>
  <c r="L10" i="12"/>
  <c r="L31" i="12"/>
  <c r="F16" i="13"/>
  <c r="E16" i="13"/>
  <c r="H16" i="13"/>
  <c r="G16" i="13"/>
  <c r="P16" i="12"/>
  <c r="P37" i="12"/>
  <c r="N16" i="12"/>
  <c r="N37" i="12"/>
  <c r="O16" i="12"/>
  <c r="O37" i="12"/>
  <c r="M37" i="12"/>
  <c r="M16" i="12"/>
  <c r="L16" i="12"/>
  <c r="L37" i="12"/>
  <c r="G8" i="13"/>
  <c r="E8" i="13"/>
  <c r="F8" i="13"/>
  <c r="H8" i="13"/>
  <c r="P29" i="12"/>
  <c r="P8" i="12"/>
  <c r="N8" i="12"/>
  <c r="N29" i="12"/>
  <c r="O8" i="12"/>
  <c r="O29" i="12"/>
  <c r="M8" i="12"/>
  <c r="M29" i="12"/>
  <c r="L8" i="12"/>
  <c r="L29" i="12"/>
  <c r="K60" i="18"/>
  <c r="K17" i="24"/>
  <c r="K96" i="24" s="1"/>
  <c r="J59" i="18"/>
  <c r="J16" i="24"/>
  <c r="J95" i="24" s="1"/>
  <c r="K15" i="24"/>
  <c r="K94" i="24" s="1"/>
  <c r="K58" i="18"/>
  <c r="J12" i="24"/>
  <c r="J91" i="24" s="1"/>
  <c r="J55" i="18"/>
  <c r="J15" i="24"/>
  <c r="J94" i="24" s="1"/>
  <c r="J58" i="18"/>
  <c r="L74" i="18"/>
  <c r="K7" i="12"/>
  <c r="K39" i="12"/>
  <c r="J35" i="12"/>
  <c r="J12" i="12"/>
  <c r="J20" i="12"/>
  <c r="K31" i="12"/>
  <c r="J8" i="12"/>
  <c r="K35" i="12"/>
  <c r="F14" i="13"/>
  <c r="E14" i="13"/>
  <c r="G14" i="13"/>
  <c r="H14" i="13"/>
  <c r="P35" i="12"/>
  <c r="P14" i="12"/>
  <c r="N35" i="12"/>
  <c r="N14" i="12"/>
  <c r="O14" i="12"/>
  <c r="O35" i="12"/>
  <c r="M35" i="12"/>
  <c r="M14" i="12"/>
  <c r="L14" i="12"/>
  <c r="L35" i="12"/>
  <c r="F11" i="13"/>
  <c r="G11" i="13"/>
  <c r="E11" i="13"/>
  <c r="H11" i="13"/>
  <c r="P11" i="12"/>
  <c r="P32" i="12"/>
  <c r="N32" i="12"/>
  <c r="N11" i="12"/>
  <c r="O32" i="12"/>
  <c r="O11" i="12"/>
  <c r="M11" i="12"/>
  <c r="M32" i="12"/>
  <c r="L11" i="12"/>
  <c r="L32" i="12"/>
  <c r="J17" i="12"/>
  <c r="G17" i="13"/>
  <c r="F17" i="13"/>
  <c r="E17" i="13"/>
  <c r="H17" i="13"/>
  <c r="P17" i="12"/>
  <c r="P38" i="12"/>
  <c r="N38" i="12"/>
  <c r="N17" i="12"/>
  <c r="O17" i="12"/>
  <c r="O38" i="12"/>
  <c r="M38" i="12"/>
  <c r="M17" i="12"/>
  <c r="L17" i="12"/>
  <c r="L38" i="12"/>
  <c r="H15" i="13"/>
  <c r="G15" i="13"/>
  <c r="F15" i="13"/>
  <c r="E15" i="13"/>
  <c r="P15" i="12"/>
  <c r="P36" i="12"/>
  <c r="N36" i="12"/>
  <c r="N15" i="12"/>
  <c r="O15" i="12"/>
  <c r="O36" i="12"/>
  <c r="M36" i="12"/>
  <c r="M15" i="12"/>
  <c r="L36" i="12"/>
  <c r="L15" i="12"/>
  <c r="K62" i="18"/>
  <c r="K19" i="24"/>
  <c r="K98" i="24" s="1"/>
  <c r="J23" i="24"/>
  <c r="J102" i="24" s="1"/>
  <c r="J66" i="18"/>
  <c r="K16" i="24"/>
  <c r="K95" i="24" s="1"/>
  <c r="K59" i="18"/>
  <c r="J22" i="24"/>
  <c r="J101" i="24" s="1"/>
  <c r="J65" i="18"/>
  <c r="K66" i="18"/>
  <c r="K23" i="24"/>
  <c r="K102" i="24" s="1"/>
  <c r="J14" i="12"/>
  <c r="L57" i="18"/>
  <c r="K16" i="12"/>
  <c r="J32" i="12"/>
  <c r="K10" i="12"/>
  <c r="J36" i="12"/>
  <c r="J29" i="12"/>
  <c r="K33" i="12"/>
  <c r="H12" i="13"/>
  <c r="G12" i="13"/>
  <c r="F12" i="13"/>
  <c r="E12" i="13"/>
  <c r="P12" i="12"/>
  <c r="P33" i="12"/>
  <c r="N12" i="12"/>
  <c r="N33" i="12"/>
  <c r="O12" i="12"/>
  <c r="O33" i="12"/>
  <c r="M12" i="12"/>
  <c r="M33" i="12"/>
  <c r="L33" i="12"/>
  <c r="L12" i="12"/>
  <c r="E9" i="13"/>
  <c r="H9" i="13"/>
  <c r="G9" i="13"/>
  <c r="F9" i="13"/>
  <c r="P30" i="12"/>
  <c r="P9" i="12"/>
  <c r="N9" i="12"/>
  <c r="N30" i="12"/>
  <c r="O9" i="12"/>
  <c r="O30" i="12"/>
  <c r="M30" i="12"/>
  <c r="M9" i="12"/>
  <c r="L9" i="12"/>
  <c r="L30" i="12"/>
  <c r="J39" i="12"/>
  <c r="F18" i="13"/>
  <c r="H18" i="13"/>
  <c r="G18" i="13"/>
  <c r="E18" i="13"/>
  <c r="P39" i="12"/>
  <c r="P18" i="12"/>
  <c r="N18" i="12"/>
  <c r="N39" i="12"/>
  <c r="O39" i="12"/>
  <c r="O18" i="12"/>
  <c r="M39" i="12"/>
  <c r="M18" i="12"/>
  <c r="L18" i="12"/>
  <c r="L39" i="12"/>
  <c r="J34" i="12"/>
  <c r="G13" i="13"/>
  <c r="E13" i="13"/>
  <c r="F13" i="13"/>
  <c r="H13" i="13"/>
  <c r="P13" i="12"/>
  <c r="P34" i="12"/>
  <c r="N34" i="12"/>
  <c r="N13" i="12"/>
  <c r="O34" i="12"/>
  <c r="O13" i="12"/>
  <c r="M34" i="12"/>
  <c r="M13" i="12"/>
  <c r="L13" i="12"/>
  <c r="L34" i="12"/>
  <c r="K53" i="18"/>
  <c r="K10" i="24"/>
  <c r="K89" i="24" s="1"/>
  <c r="J63" i="18"/>
  <c r="J20" i="24"/>
  <c r="J99" i="24" s="1"/>
  <c r="K12" i="24"/>
  <c r="K91" i="24" s="1"/>
  <c r="K55" i="18"/>
  <c r="J19" i="24"/>
  <c r="J98" i="24" s="1"/>
  <c r="J62" i="18"/>
  <c r="K9" i="12"/>
  <c r="K8" i="12"/>
  <c r="J18" i="12"/>
  <c r="K15" i="12"/>
  <c r="K37" i="12"/>
  <c r="K13" i="12"/>
  <c r="K11" i="12"/>
  <c r="J30" i="12"/>
  <c r="K38" i="12"/>
  <c r="J16" i="12"/>
  <c r="J10" i="12"/>
  <c r="K19" i="12"/>
  <c r="H19" i="13"/>
  <c r="G19" i="13"/>
  <c r="E19" i="13"/>
  <c r="F19" i="13"/>
  <c r="P19" i="12"/>
  <c r="P40" i="12"/>
  <c r="N40" i="12"/>
  <c r="N19" i="12"/>
  <c r="O40" i="12"/>
  <c r="O19" i="12"/>
  <c r="M40" i="12"/>
  <c r="M19" i="12"/>
  <c r="L40" i="12"/>
  <c r="L19" i="12"/>
  <c r="J28" i="12"/>
  <c r="I21" i="13"/>
  <c r="E7" i="13"/>
  <c r="F7" i="13"/>
  <c r="G7" i="13"/>
  <c r="H7" i="13"/>
  <c r="P28" i="12"/>
  <c r="P7" i="12"/>
  <c r="N7" i="12"/>
  <c r="N28" i="12"/>
  <c r="O7" i="12"/>
  <c r="O28" i="12"/>
  <c r="M28" i="12"/>
  <c r="M7" i="12"/>
  <c r="L28" i="12"/>
  <c r="L7" i="12"/>
  <c r="J41" i="12"/>
  <c r="H20" i="13"/>
  <c r="E20" i="13"/>
  <c r="G20" i="13"/>
  <c r="F20" i="13"/>
  <c r="P41" i="12"/>
  <c r="P20" i="12"/>
  <c r="N20" i="12"/>
  <c r="N41" i="12"/>
  <c r="O41" i="12"/>
  <c r="O20" i="12"/>
  <c r="M41" i="12"/>
  <c r="M20" i="12"/>
  <c r="L41" i="12"/>
  <c r="L20" i="12"/>
  <c r="K20" i="24"/>
  <c r="K99" i="24" s="1"/>
  <c r="K63" i="18"/>
  <c r="J60" i="18"/>
  <c r="J17" i="24"/>
  <c r="J96" i="24" s="1"/>
  <c r="K65" i="18"/>
  <c r="K22" i="24"/>
  <c r="K101" i="24" s="1"/>
  <c r="J10" i="24"/>
  <c r="J89" i="24" s="1"/>
  <c r="J53" i="18"/>
  <c r="K56" i="18"/>
  <c r="K13" i="24"/>
  <c r="K92" i="24" s="1"/>
  <c r="J13" i="24"/>
  <c r="J92" i="24" s="1"/>
  <c r="J56" i="18"/>
  <c r="L64" i="18"/>
  <c r="L21" i="24"/>
  <c r="L100" i="24" s="1"/>
  <c r="K28" i="12"/>
  <c r="K30" i="12"/>
  <c r="K29" i="12"/>
  <c r="J33" i="12"/>
  <c r="K36" i="12"/>
  <c r="K40" i="12"/>
  <c r="J19" i="12"/>
  <c r="K34" i="12"/>
  <c r="K32" i="12"/>
  <c r="J13" i="12"/>
  <c r="K41" i="12"/>
  <c r="K17" i="12"/>
  <c r="J37" i="12"/>
  <c r="J31" i="12"/>
  <c r="J193" i="26"/>
  <c r="K208" i="25"/>
  <c r="J73" i="25"/>
  <c r="J133" i="25"/>
  <c r="K88" i="25"/>
  <c r="K178" i="25"/>
  <c r="J13" i="25"/>
  <c r="K118" i="25"/>
  <c r="J163" i="26"/>
  <c r="J43" i="25"/>
  <c r="N58" i="26"/>
  <c r="M58" i="26"/>
  <c r="P148" i="25"/>
  <c r="O148" i="25"/>
  <c r="L148" i="25"/>
  <c r="N28" i="25"/>
  <c r="M28" i="25"/>
  <c r="J88" i="25"/>
  <c r="K58" i="26"/>
  <c r="P118" i="25"/>
  <c r="O118" i="26"/>
  <c r="L118" i="26"/>
  <c r="N73" i="25"/>
  <c r="M73" i="26"/>
  <c r="P163" i="25"/>
  <c r="O163" i="25"/>
  <c r="L163" i="25"/>
  <c r="N133" i="26"/>
  <c r="M133" i="26"/>
  <c r="K148" i="25"/>
  <c r="P88" i="26"/>
  <c r="O88" i="26"/>
  <c r="L88" i="25"/>
  <c r="N43" i="26"/>
  <c r="M43" i="25"/>
  <c r="P178" i="26"/>
  <c r="O178" i="26"/>
  <c r="L178" i="25"/>
  <c r="P103" i="26"/>
  <c r="O103" i="25"/>
  <c r="L103" i="26"/>
  <c r="K28" i="25"/>
  <c r="K133" i="25"/>
  <c r="J43" i="26"/>
  <c r="K193" i="25"/>
  <c r="N193" i="25"/>
  <c r="M193" i="25"/>
  <c r="N13" i="26"/>
  <c r="M13" i="25"/>
  <c r="P208" i="26"/>
  <c r="O208" i="26"/>
  <c r="L208" i="26"/>
  <c r="K43" i="26"/>
  <c r="K193" i="26"/>
  <c r="K73" i="26"/>
  <c r="J148" i="26"/>
  <c r="N58" i="25"/>
  <c r="M58" i="25"/>
  <c r="P148" i="26"/>
  <c r="O148" i="26"/>
  <c r="L148" i="26"/>
  <c r="N28" i="26"/>
  <c r="M28" i="26"/>
  <c r="K13" i="25"/>
  <c r="J28" i="25"/>
  <c r="N118" i="26"/>
  <c r="M118" i="26"/>
  <c r="P73" i="25"/>
  <c r="O73" i="26"/>
  <c r="L73" i="25"/>
  <c r="P163" i="26"/>
  <c r="O163" i="26"/>
  <c r="L163" i="26"/>
  <c r="N133" i="25"/>
  <c r="M133" i="25"/>
  <c r="J118" i="25"/>
  <c r="J73" i="26"/>
  <c r="K58" i="25"/>
  <c r="J28" i="26"/>
  <c r="N88" i="25"/>
  <c r="M88" i="25"/>
  <c r="P43" i="26"/>
  <c r="O43" i="25"/>
  <c r="L43" i="25"/>
  <c r="P178" i="25"/>
  <c r="O178" i="25"/>
  <c r="L178" i="26"/>
  <c r="N103" i="26"/>
  <c r="M103" i="26"/>
  <c r="J178" i="25"/>
  <c r="K148" i="26"/>
  <c r="K163" i="26"/>
  <c r="P193" i="25"/>
  <c r="O193" i="26"/>
  <c r="L193" i="26"/>
  <c r="P13" i="26"/>
  <c r="O13" i="25"/>
  <c r="L13" i="26"/>
  <c r="P208" i="25"/>
  <c r="O208" i="25"/>
  <c r="L208" i="25"/>
  <c r="K28" i="26"/>
  <c r="J193" i="25"/>
  <c r="J103" i="25"/>
  <c r="J58" i="26"/>
  <c r="P58" i="25"/>
  <c r="O58" i="26"/>
  <c r="L58" i="25"/>
  <c r="N148" i="25"/>
  <c r="M148" i="26"/>
  <c r="P28" i="26"/>
  <c r="O28" i="25"/>
  <c r="L28" i="25"/>
  <c r="K178" i="26"/>
  <c r="J208" i="25"/>
  <c r="K118" i="26"/>
  <c r="N118" i="25"/>
  <c r="M118" i="25"/>
  <c r="P73" i="26"/>
  <c r="O73" i="25"/>
  <c r="L73" i="26"/>
  <c r="N163" i="26"/>
  <c r="M163" i="26"/>
  <c r="P133" i="25"/>
  <c r="O133" i="25"/>
  <c r="L133" i="26"/>
  <c r="J133" i="26"/>
  <c r="K88" i="26"/>
  <c r="N88" i="26"/>
  <c r="M88" i="26"/>
  <c r="P43" i="25"/>
  <c r="O43" i="26"/>
  <c r="L43" i="26"/>
  <c r="N178" i="25"/>
  <c r="M178" i="26"/>
  <c r="J103" i="26"/>
  <c r="N103" i="25"/>
  <c r="M103" i="25"/>
  <c r="K103" i="25"/>
  <c r="J148" i="25"/>
  <c r="P193" i="26"/>
  <c r="O193" i="25"/>
  <c r="L193" i="25"/>
  <c r="P13" i="25"/>
  <c r="O13" i="26"/>
  <c r="L13" i="25"/>
  <c r="N208" i="25"/>
  <c r="M208" i="26"/>
  <c r="J88" i="26"/>
  <c r="K208" i="26"/>
  <c r="P58" i="26"/>
  <c r="O58" i="25"/>
  <c r="L58" i="26"/>
  <c r="N148" i="26"/>
  <c r="M148" i="25"/>
  <c r="P28" i="25"/>
  <c r="O28" i="26"/>
  <c r="L28" i="26"/>
  <c r="J118" i="26"/>
  <c r="P118" i="26"/>
  <c r="O118" i="25"/>
  <c r="L118" i="25"/>
  <c r="N73" i="26"/>
  <c r="M73" i="25"/>
  <c r="J163" i="25"/>
  <c r="N163" i="25"/>
  <c r="M163" i="25"/>
  <c r="P133" i="26"/>
  <c r="O133" i="26"/>
  <c r="L133" i="25"/>
  <c r="P88" i="25"/>
  <c r="O88" i="25"/>
  <c r="L88" i="26"/>
  <c r="N43" i="25"/>
  <c r="M43" i="26"/>
  <c r="J178" i="26"/>
  <c r="N178" i="26"/>
  <c r="M178" i="25"/>
  <c r="P103" i="25"/>
  <c r="O103" i="26"/>
  <c r="L103" i="25"/>
  <c r="K43" i="25"/>
  <c r="K73" i="25"/>
  <c r="J58" i="25"/>
  <c r="N193" i="26"/>
  <c r="M193" i="26"/>
  <c r="J13" i="26"/>
  <c r="N13" i="25"/>
  <c r="M13" i="26"/>
  <c r="J208" i="26"/>
  <c r="N208" i="26"/>
  <c r="M208" i="25"/>
  <c r="K13" i="26"/>
  <c r="K133" i="26"/>
  <c r="K103" i="26"/>
  <c r="K163" i="25"/>
  <c r="I71" i="3" l="1"/>
  <c r="I70" i="3"/>
  <c r="K41" i="18"/>
  <c r="K83" i="18" s="1"/>
  <c r="K42" i="18"/>
  <c r="J45" i="18"/>
  <c r="J87" i="18" s="1"/>
  <c r="L36" i="18"/>
  <c r="L78" i="18" s="1"/>
  <c r="K38" i="18"/>
  <c r="I52" i="3"/>
  <c r="K54" i="19" s="1"/>
  <c r="K35" i="18"/>
  <c r="I50" i="3"/>
  <c r="K52" i="17" s="1"/>
  <c r="K72" i="3"/>
  <c r="K57" i="18" s="1"/>
  <c r="I75" i="3"/>
  <c r="I77" i="3"/>
  <c r="J39" i="18"/>
  <c r="J81" i="18" s="1"/>
  <c r="J35" i="18"/>
  <c r="J34" i="18"/>
  <c r="J76" i="18" s="1"/>
  <c r="J41" i="18"/>
  <c r="J83" i="18" s="1"/>
  <c r="K32" i="18"/>
  <c r="L43" i="18"/>
  <c r="K34" i="18"/>
  <c r="I53" i="3"/>
  <c r="K55" i="19" s="1"/>
  <c r="J37" i="18"/>
  <c r="I54" i="3"/>
  <c r="K56" i="17" s="1"/>
  <c r="I60" i="3"/>
  <c r="K62" i="19" s="1"/>
  <c r="I49" i="3"/>
  <c r="J51" i="19" s="1"/>
  <c r="J18" i="7"/>
  <c r="I56" i="3"/>
  <c r="K58" i="19" s="1"/>
  <c r="I57" i="3"/>
  <c r="K59" i="19" s="1"/>
  <c r="I74" i="3"/>
  <c r="I81" i="3"/>
  <c r="I80" i="3"/>
  <c r="I22" i="13"/>
  <c r="J38" i="18"/>
  <c r="J80" i="18" s="1"/>
  <c r="K18" i="7"/>
  <c r="J42" i="18"/>
  <c r="J84" i="18" s="1"/>
  <c r="I58" i="3"/>
  <c r="J60" i="19" s="1"/>
  <c r="I51" i="3"/>
  <c r="J53" i="17" s="1"/>
  <c r="I59" i="3"/>
  <c r="K44" i="18"/>
  <c r="I73" i="3"/>
  <c r="I68" i="3"/>
  <c r="I78" i="3"/>
  <c r="J44" i="18"/>
  <c r="J86" i="18" s="1"/>
  <c r="K58" i="3"/>
  <c r="K39" i="18"/>
  <c r="J32" i="18"/>
  <c r="J72" i="3"/>
  <c r="J57" i="18" s="1"/>
  <c r="K45" i="18"/>
  <c r="K37" i="18"/>
  <c r="K79" i="18" s="1"/>
  <c r="J79" i="3"/>
  <c r="J64" i="18" s="1"/>
  <c r="I47" i="3"/>
  <c r="K49" i="19" s="1"/>
  <c r="K79" i="3"/>
  <c r="L84" i="18"/>
  <c r="K80" i="18"/>
  <c r="K77" i="18"/>
  <c r="L85" i="18"/>
  <c r="K76" i="18"/>
  <c r="J79" i="18"/>
  <c r="K86" i="18"/>
  <c r="J77" i="18"/>
  <c r="K81" i="18"/>
  <c r="K87" i="18"/>
  <c r="F21" i="13"/>
  <c r="K84" i="18"/>
  <c r="K223" i="26"/>
  <c r="M223" i="26"/>
  <c r="N223" i="25"/>
  <c r="J223" i="26"/>
  <c r="L223" i="25"/>
  <c r="O223" i="26"/>
  <c r="P223" i="25"/>
  <c r="L223" i="26"/>
  <c r="O223" i="25"/>
  <c r="P223" i="26"/>
  <c r="J223" i="25"/>
  <c r="K223" i="25"/>
  <c r="M223" i="25"/>
  <c r="N223" i="26"/>
  <c r="K61" i="17"/>
  <c r="I23" i="18"/>
  <c r="I22" i="24"/>
  <c r="I101" i="24" s="1"/>
  <c r="G59" i="3"/>
  <c r="E59" i="3"/>
  <c r="H59" i="3"/>
  <c r="F59" i="3"/>
  <c r="P61" i="17"/>
  <c r="P61" i="19"/>
  <c r="N61" i="19"/>
  <c r="N61" i="17"/>
  <c r="O61" i="17"/>
  <c r="O61" i="19"/>
  <c r="M61" i="17"/>
  <c r="M61" i="19"/>
  <c r="L61" i="19"/>
  <c r="L61" i="17"/>
  <c r="K42" i="12"/>
  <c r="K26" i="22" s="1"/>
  <c r="J52" i="19"/>
  <c r="J49" i="19"/>
  <c r="K61" i="19"/>
  <c r="J56" i="17"/>
  <c r="M42" i="12"/>
  <c r="M26" i="22" s="1"/>
  <c r="N21" i="12"/>
  <c r="N13" i="22" s="1"/>
  <c r="G21" i="13"/>
  <c r="J42" i="12"/>
  <c r="J26" i="22" s="1"/>
  <c r="K14" i="24"/>
  <c r="K93" i="24" s="1"/>
  <c r="K51" i="17"/>
  <c r="K58" i="17"/>
  <c r="J54" i="17"/>
  <c r="J51" i="17"/>
  <c r="K54" i="17"/>
  <c r="J55" i="19"/>
  <c r="K56" i="19"/>
  <c r="K56" i="8" s="1"/>
  <c r="G80" i="3"/>
  <c r="F80" i="3"/>
  <c r="E80" i="3"/>
  <c r="H80" i="3"/>
  <c r="J60" i="17"/>
  <c r="J60" i="8" s="1"/>
  <c r="I22" i="18"/>
  <c r="G58" i="3"/>
  <c r="H58" i="3"/>
  <c r="E58" i="3"/>
  <c r="F58" i="3"/>
  <c r="P60" i="17"/>
  <c r="P60" i="19"/>
  <c r="N60" i="17"/>
  <c r="N60" i="19"/>
  <c r="O60" i="17"/>
  <c r="O60" i="19"/>
  <c r="M60" i="17"/>
  <c r="M60" i="19"/>
  <c r="G68" i="3"/>
  <c r="E68" i="3"/>
  <c r="F68" i="3"/>
  <c r="H68" i="3"/>
  <c r="G78" i="3"/>
  <c r="H78" i="3"/>
  <c r="E78" i="3"/>
  <c r="F78" i="3"/>
  <c r="K21" i="24"/>
  <c r="K100" i="24" s="1"/>
  <c r="K60" i="19"/>
  <c r="K64" i="18"/>
  <c r="K60" i="17"/>
  <c r="J74" i="18"/>
  <c r="I11" i="18"/>
  <c r="I10" i="24"/>
  <c r="I89" i="24" s="1"/>
  <c r="H47" i="3"/>
  <c r="G47" i="3"/>
  <c r="E47" i="3"/>
  <c r="F47" i="3"/>
  <c r="P49" i="17"/>
  <c r="P49" i="19"/>
  <c r="N49" i="19"/>
  <c r="N49" i="17"/>
  <c r="O49" i="17"/>
  <c r="O49" i="19"/>
  <c r="M49" i="17"/>
  <c r="M49" i="19"/>
  <c r="L49" i="19"/>
  <c r="L49" i="17"/>
  <c r="L60" i="17"/>
  <c r="J49" i="17"/>
  <c r="J14" i="24"/>
  <c r="J93" i="24" s="1"/>
  <c r="L21" i="12"/>
  <c r="L13" i="22" s="1"/>
  <c r="O42" i="12"/>
  <c r="O26" i="22" s="1"/>
  <c r="P21" i="12"/>
  <c r="P13" i="22" s="1"/>
  <c r="J58" i="17"/>
  <c r="J21" i="24"/>
  <c r="J100" i="24" s="1"/>
  <c r="J62" i="19"/>
  <c r="J54" i="19"/>
  <c r="J55" i="17"/>
  <c r="H81" i="3"/>
  <c r="F81" i="3"/>
  <c r="G81" i="3"/>
  <c r="E81" i="3"/>
  <c r="F22" i="13"/>
  <c r="E22" i="13"/>
  <c r="H22" i="13"/>
  <c r="G22" i="13"/>
  <c r="K53" i="19"/>
  <c r="I15" i="18"/>
  <c r="H51" i="3"/>
  <c r="Y11" i="17" s="1"/>
  <c r="Y21" i="17" s="1"/>
  <c r="E51" i="3"/>
  <c r="F51" i="3"/>
  <c r="G51" i="3"/>
  <c r="P53" i="19"/>
  <c r="P53" i="17"/>
  <c r="N53" i="19"/>
  <c r="N53" i="17"/>
  <c r="O53" i="19"/>
  <c r="O53" i="17"/>
  <c r="M53" i="19"/>
  <c r="M53" i="17"/>
  <c r="L53" i="19"/>
  <c r="L53" i="17"/>
  <c r="F73" i="3"/>
  <c r="H73" i="3"/>
  <c r="E73" i="3"/>
  <c r="G73" i="3"/>
  <c r="G71" i="3"/>
  <c r="H71" i="3"/>
  <c r="E71" i="3"/>
  <c r="F71" i="3"/>
  <c r="H70" i="3"/>
  <c r="F70" i="3"/>
  <c r="G70" i="3"/>
  <c r="E70" i="3"/>
  <c r="I15" i="24"/>
  <c r="I94" i="24" s="1"/>
  <c r="I16" i="18"/>
  <c r="K100" i="18" s="1"/>
  <c r="F52" i="3"/>
  <c r="G52" i="3"/>
  <c r="G15" i="24" s="1"/>
  <c r="E52" i="3"/>
  <c r="H52" i="3"/>
  <c r="H15" i="24" s="1"/>
  <c r="P54" i="17"/>
  <c r="P54" i="19"/>
  <c r="N54" i="19"/>
  <c r="N54" i="17"/>
  <c r="O54" i="17"/>
  <c r="O54" i="19"/>
  <c r="M54" i="19"/>
  <c r="M54" i="17"/>
  <c r="L54" i="17"/>
  <c r="L54" i="19"/>
  <c r="I13" i="24"/>
  <c r="I92" i="24" s="1"/>
  <c r="I14" i="18"/>
  <c r="E50" i="3"/>
  <c r="E13" i="24" s="1"/>
  <c r="H50" i="3"/>
  <c r="G50" i="3"/>
  <c r="F50" i="3"/>
  <c r="P52" i="17"/>
  <c r="P52" i="19"/>
  <c r="N52" i="17"/>
  <c r="N52" i="19"/>
  <c r="O52" i="19"/>
  <c r="O52" i="17"/>
  <c r="M52" i="19"/>
  <c r="M52" i="17"/>
  <c r="L52" i="17"/>
  <c r="L52" i="19"/>
  <c r="L60" i="19"/>
  <c r="K98" i="18"/>
  <c r="L42" i="12"/>
  <c r="L26" i="22" s="1"/>
  <c r="O21" i="12"/>
  <c r="O13" i="22" s="1"/>
  <c r="P42" i="12"/>
  <c r="P26" i="22" s="1"/>
  <c r="E21" i="13"/>
  <c r="J61" i="19"/>
  <c r="K21" i="12"/>
  <c r="K13" i="22" s="1"/>
  <c r="J21" i="12"/>
  <c r="J13" i="22" s="1"/>
  <c r="E74" i="3"/>
  <c r="F74" i="3"/>
  <c r="H74" i="3"/>
  <c r="G74" i="3"/>
  <c r="H75" i="3"/>
  <c r="G75" i="3"/>
  <c r="F75" i="3"/>
  <c r="E75" i="3"/>
  <c r="G77" i="3"/>
  <c r="E77" i="3"/>
  <c r="H77" i="3"/>
  <c r="F77" i="3"/>
  <c r="K74" i="18"/>
  <c r="K55" i="17"/>
  <c r="I17" i="18"/>
  <c r="K101" i="18" s="1"/>
  <c r="I16" i="24"/>
  <c r="I95" i="24" s="1"/>
  <c r="H53" i="3"/>
  <c r="G53" i="3"/>
  <c r="F53" i="3"/>
  <c r="E53" i="3"/>
  <c r="P55" i="19"/>
  <c r="P55" i="17"/>
  <c r="N55" i="17"/>
  <c r="N55" i="19"/>
  <c r="O55" i="17"/>
  <c r="O55" i="19"/>
  <c r="M55" i="19"/>
  <c r="M55" i="17"/>
  <c r="L55" i="19"/>
  <c r="L55" i="17"/>
  <c r="I17" i="24"/>
  <c r="I96" i="24" s="1"/>
  <c r="I18" i="18"/>
  <c r="K102" i="18" s="1"/>
  <c r="F54" i="3"/>
  <c r="H54" i="3"/>
  <c r="E54" i="3"/>
  <c r="G54" i="3"/>
  <c r="P56" i="19"/>
  <c r="P56" i="17"/>
  <c r="N56" i="19"/>
  <c r="N56" i="17"/>
  <c r="O56" i="17"/>
  <c r="O56" i="19"/>
  <c r="M56" i="19"/>
  <c r="M56" i="17"/>
  <c r="L56" i="19"/>
  <c r="L56" i="17"/>
  <c r="J62" i="17"/>
  <c r="I23" i="24"/>
  <c r="I102" i="24" s="1"/>
  <c r="I24" i="18"/>
  <c r="J108" i="18" s="1"/>
  <c r="G60" i="3"/>
  <c r="F60" i="3"/>
  <c r="E60" i="3"/>
  <c r="H60" i="3"/>
  <c r="P62" i="19"/>
  <c r="P62" i="17"/>
  <c r="N62" i="17"/>
  <c r="N62" i="19"/>
  <c r="O62" i="17"/>
  <c r="O62" i="19"/>
  <c r="M62" i="17"/>
  <c r="M62" i="19"/>
  <c r="L62" i="19"/>
  <c r="L62" i="17"/>
  <c r="K51" i="19"/>
  <c r="I13" i="18"/>
  <c r="I12" i="24"/>
  <c r="I91" i="24" s="1"/>
  <c r="H49" i="3"/>
  <c r="H12" i="24" s="1"/>
  <c r="E49" i="3"/>
  <c r="G49" i="3"/>
  <c r="F49" i="3"/>
  <c r="P51" i="17"/>
  <c r="P51" i="19"/>
  <c r="N51" i="19"/>
  <c r="N51" i="17"/>
  <c r="O51" i="19"/>
  <c r="O51" i="17"/>
  <c r="M51" i="19"/>
  <c r="M51" i="17"/>
  <c r="L51" i="17"/>
  <c r="L51" i="19"/>
  <c r="J58" i="19"/>
  <c r="I19" i="24"/>
  <c r="I98" i="24" s="1"/>
  <c r="I20" i="18"/>
  <c r="G56" i="3"/>
  <c r="F56" i="3"/>
  <c r="H56" i="3"/>
  <c r="E56" i="3"/>
  <c r="P58" i="19"/>
  <c r="P58" i="17"/>
  <c r="N58" i="17"/>
  <c r="N58" i="19"/>
  <c r="O58" i="19"/>
  <c r="O58" i="17"/>
  <c r="M58" i="17"/>
  <c r="M58" i="19"/>
  <c r="L58" i="19"/>
  <c r="L58" i="17"/>
  <c r="J59" i="17"/>
  <c r="I21" i="18"/>
  <c r="K105" i="18" s="1"/>
  <c r="I20" i="24"/>
  <c r="I99" i="24" s="1"/>
  <c r="E57" i="3"/>
  <c r="H57" i="3"/>
  <c r="G57" i="3"/>
  <c r="F57" i="3"/>
  <c r="P59" i="19"/>
  <c r="P59" i="17"/>
  <c r="N59" i="19"/>
  <c r="N59" i="17"/>
  <c r="O59" i="19"/>
  <c r="O59" i="17"/>
  <c r="M59" i="19"/>
  <c r="M59" i="17"/>
  <c r="L59" i="19"/>
  <c r="L59" i="17"/>
  <c r="J52" i="17"/>
  <c r="K52" i="19"/>
  <c r="J56" i="19"/>
  <c r="K59" i="17"/>
  <c r="J53" i="19"/>
  <c r="M21" i="12"/>
  <c r="M13" i="22" s="1"/>
  <c r="N42" i="12"/>
  <c r="N26" i="22" s="1"/>
  <c r="H21" i="13"/>
  <c r="K53" i="17"/>
  <c r="J59" i="19"/>
  <c r="K49" i="17"/>
  <c r="K62" i="17"/>
  <c r="J61" i="17"/>
  <c r="I45" i="18" l="1"/>
  <c r="I42" i="18"/>
  <c r="I37" i="18"/>
  <c r="I34" i="18"/>
  <c r="J36" i="18"/>
  <c r="J78" i="18" s="1"/>
  <c r="I39" i="18"/>
  <c r="I41" i="18"/>
  <c r="I44" i="18"/>
  <c r="I32" i="18"/>
  <c r="Q12" i="13"/>
  <c r="H20" i="24"/>
  <c r="I35" i="18"/>
  <c r="K43" i="18"/>
  <c r="I79" i="3"/>
  <c r="I21" i="24" s="1"/>
  <c r="I100" i="24" s="1"/>
  <c r="J43" i="18"/>
  <c r="J85" i="18" s="1"/>
  <c r="I38" i="18"/>
  <c r="I72" i="3"/>
  <c r="I18" i="7"/>
  <c r="K18" i="11" s="1"/>
  <c r="K36" i="18"/>
  <c r="K78" i="18" s="1"/>
  <c r="F12" i="24"/>
  <c r="F91" i="24" s="1"/>
  <c r="K85" i="18"/>
  <c r="N238" i="26"/>
  <c r="P238" i="26"/>
  <c r="F20" i="24"/>
  <c r="F41" i="24" s="1"/>
  <c r="H19" i="24"/>
  <c r="H98" i="24" s="1"/>
  <c r="H23" i="24"/>
  <c r="H64" i="24" s="1"/>
  <c r="F13" i="24"/>
  <c r="F54" i="24" s="1"/>
  <c r="O238" i="26"/>
  <c r="M238" i="26"/>
  <c r="G12" i="24"/>
  <c r="G91" i="24" s="1"/>
  <c r="K238" i="26"/>
  <c r="G19" i="24"/>
  <c r="G98" i="24" s="1"/>
  <c r="E12" i="24"/>
  <c r="E91" i="24" s="1"/>
  <c r="E23" i="24"/>
  <c r="E102" i="24" s="1"/>
  <c r="G17" i="24"/>
  <c r="G58" i="24" s="1"/>
  <c r="E20" i="24"/>
  <c r="E41" i="24" s="1"/>
  <c r="H13" i="24"/>
  <c r="H92" i="24" s="1"/>
  <c r="E16" i="24"/>
  <c r="E95" i="24" s="1"/>
  <c r="H17" i="24"/>
  <c r="H58" i="24" s="1"/>
  <c r="G16" i="24"/>
  <c r="G57" i="24" s="1"/>
  <c r="E19" i="24"/>
  <c r="E60" i="24" s="1"/>
  <c r="F23" i="24"/>
  <c r="F64" i="24" s="1"/>
  <c r="E17" i="24"/>
  <c r="E58" i="24" s="1"/>
  <c r="F16" i="24"/>
  <c r="F57" i="24" s="1"/>
  <c r="J102" i="18"/>
  <c r="K106" i="18"/>
  <c r="H22" i="24"/>
  <c r="H43" i="24" s="1"/>
  <c r="F19" i="24"/>
  <c r="F40" i="24" s="1"/>
  <c r="J106" i="18"/>
  <c r="K238" i="25"/>
  <c r="J99" i="18"/>
  <c r="L211" i="18"/>
  <c r="O148" i="18"/>
  <c r="M148" i="18"/>
  <c r="O211" i="18"/>
  <c r="J148" i="18"/>
  <c r="N148" i="18"/>
  <c r="M211" i="18"/>
  <c r="N211" i="18"/>
  <c r="K148" i="18"/>
  <c r="L148" i="18"/>
  <c r="P211" i="18"/>
  <c r="K211" i="18"/>
  <c r="P148" i="18"/>
  <c r="J211" i="18"/>
  <c r="I80" i="18"/>
  <c r="F38" i="18"/>
  <c r="F80" i="18" s="1"/>
  <c r="H38" i="18"/>
  <c r="H80" i="18" s="1"/>
  <c r="E38" i="18"/>
  <c r="E80" i="18" s="1"/>
  <c r="G38" i="18"/>
  <c r="G80" i="18" s="1"/>
  <c r="O59" i="8"/>
  <c r="L51" i="8"/>
  <c r="H91" i="24"/>
  <c r="H53" i="24"/>
  <c r="H33" i="24"/>
  <c r="M55" i="8"/>
  <c r="L52" i="8"/>
  <c r="E92" i="24"/>
  <c r="E34" i="24"/>
  <c r="E54" i="24"/>
  <c r="L99" i="18"/>
  <c r="P99" i="18"/>
  <c r="N99" i="18"/>
  <c r="O99" i="18"/>
  <c r="M99" i="18"/>
  <c r="L49" i="8"/>
  <c r="K60" i="8"/>
  <c r="O60" i="8"/>
  <c r="J51" i="8"/>
  <c r="K58" i="8"/>
  <c r="K61" i="8"/>
  <c r="J107" i="18"/>
  <c r="P107" i="18"/>
  <c r="N107" i="18"/>
  <c r="O107" i="18"/>
  <c r="M107" i="18"/>
  <c r="L107" i="18"/>
  <c r="I87" i="18"/>
  <c r="F45" i="18"/>
  <c r="F87" i="18" s="1"/>
  <c r="G45" i="18"/>
  <c r="G87" i="18" s="1"/>
  <c r="H45" i="18"/>
  <c r="H87" i="18" s="1"/>
  <c r="E45" i="18"/>
  <c r="E87" i="18" s="1"/>
  <c r="I84" i="18"/>
  <c r="F42" i="18"/>
  <c r="F84" i="18" s="1"/>
  <c r="E42" i="18"/>
  <c r="E84" i="18" s="1"/>
  <c r="G42" i="18"/>
  <c r="G84" i="18" s="1"/>
  <c r="H42" i="18"/>
  <c r="H84" i="18" s="1"/>
  <c r="I79" i="18"/>
  <c r="H37" i="18"/>
  <c r="H79" i="18" s="1"/>
  <c r="G37" i="18"/>
  <c r="G79" i="18" s="1"/>
  <c r="F37" i="18"/>
  <c r="F79" i="18" s="1"/>
  <c r="E37" i="18"/>
  <c r="E79" i="18" s="1"/>
  <c r="I76" i="18"/>
  <c r="G34" i="18"/>
  <c r="G76" i="18" s="1"/>
  <c r="E34" i="18"/>
  <c r="E76" i="18" s="1"/>
  <c r="F34" i="18"/>
  <c r="F76" i="18" s="1"/>
  <c r="H34" i="18"/>
  <c r="H76" i="18" s="1"/>
  <c r="K49" i="8"/>
  <c r="L58" i="8"/>
  <c r="O58" i="8"/>
  <c r="P58" i="8"/>
  <c r="M51" i="8"/>
  <c r="N51" i="8"/>
  <c r="F33" i="24"/>
  <c r="K139" i="18"/>
  <c r="M202" i="18"/>
  <c r="L202" i="18"/>
  <c r="L139" i="18"/>
  <c r="N202" i="18"/>
  <c r="K202" i="18"/>
  <c r="O139" i="18"/>
  <c r="M139" i="18"/>
  <c r="J202" i="18"/>
  <c r="O202" i="18"/>
  <c r="J139" i="18"/>
  <c r="N139" i="18"/>
  <c r="P202" i="18"/>
  <c r="P139" i="18"/>
  <c r="O62" i="8"/>
  <c r="G23" i="24"/>
  <c r="L56" i="8"/>
  <c r="P56" i="8"/>
  <c r="H96" i="24"/>
  <c r="N55" i="8"/>
  <c r="J101" i="18"/>
  <c r="P101" i="18"/>
  <c r="N101" i="18"/>
  <c r="O101" i="18"/>
  <c r="M101" i="18"/>
  <c r="L101" i="18"/>
  <c r="K107" i="18"/>
  <c r="M52" i="8"/>
  <c r="J98" i="18"/>
  <c r="P98" i="18"/>
  <c r="N98" i="18"/>
  <c r="O98" i="18"/>
  <c r="M98" i="18"/>
  <c r="L98" i="18"/>
  <c r="L54" i="8"/>
  <c r="O54" i="8"/>
  <c r="P54" i="8"/>
  <c r="F15" i="24"/>
  <c r="L53" i="8"/>
  <c r="O53" i="8"/>
  <c r="P53" i="8"/>
  <c r="O49" i="8"/>
  <c r="P49" i="8"/>
  <c r="H10" i="24"/>
  <c r="J54" i="8"/>
  <c r="K51" i="8"/>
  <c r="L61" i="8"/>
  <c r="E22" i="24"/>
  <c r="J238" i="25"/>
  <c r="P238" i="25"/>
  <c r="N238" i="25"/>
  <c r="K62" i="8"/>
  <c r="K59" i="8"/>
  <c r="P59" i="8"/>
  <c r="N58" i="8"/>
  <c r="J62" i="8"/>
  <c r="M143" i="18"/>
  <c r="J206" i="18"/>
  <c r="K206" i="18"/>
  <c r="O143" i="18"/>
  <c r="N143" i="18"/>
  <c r="M206" i="18"/>
  <c r="O206" i="18"/>
  <c r="J143" i="18"/>
  <c r="P206" i="18"/>
  <c r="P143" i="18"/>
  <c r="L143" i="18"/>
  <c r="N206" i="18"/>
  <c r="L206" i="18"/>
  <c r="K143" i="18"/>
  <c r="P52" i="8"/>
  <c r="K95" i="18"/>
  <c r="P95" i="18"/>
  <c r="N95" i="18"/>
  <c r="O95" i="18"/>
  <c r="M95" i="18"/>
  <c r="L95" i="18"/>
  <c r="I83" i="18"/>
  <c r="H41" i="18"/>
  <c r="H83" i="18" s="1"/>
  <c r="E41" i="18"/>
  <c r="E83" i="18" s="1"/>
  <c r="F41" i="18"/>
  <c r="F83" i="18" s="1"/>
  <c r="G41" i="18"/>
  <c r="G83" i="18" s="1"/>
  <c r="I86" i="18"/>
  <c r="G44" i="18"/>
  <c r="G86" i="18" s="1"/>
  <c r="F44" i="18"/>
  <c r="F86" i="18" s="1"/>
  <c r="H44" i="18"/>
  <c r="H86" i="18" s="1"/>
  <c r="E44" i="18"/>
  <c r="E86" i="18" s="1"/>
  <c r="I74" i="18"/>
  <c r="K116" i="18" s="1"/>
  <c r="H32" i="18"/>
  <c r="G32" i="18"/>
  <c r="F32" i="18"/>
  <c r="E32" i="18"/>
  <c r="Q12" i="12"/>
  <c r="Q33" i="12"/>
  <c r="J59" i="8"/>
  <c r="M59" i="8"/>
  <c r="N59" i="8"/>
  <c r="J147" i="18"/>
  <c r="P210" i="18"/>
  <c r="O147" i="18"/>
  <c r="L210" i="18"/>
  <c r="K147" i="18"/>
  <c r="N210" i="18"/>
  <c r="O210" i="18"/>
  <c r="M147" i="18"/>
  <c r="J210" i="18"/>
  <c r="K210" i="18"/>
  <c r="P147" i="18"/>
  <c r="N147" i="18"/>
  <c r="M210" i="18"/>
  <c r="L147" i="18"/>
  <c r="J18" i="11"/>
  <c r="G33" i="24"/>
  <c r="K97" i="18"/>
  <c r="P97" i="18"/>
  <c r="N97" i="18"/>
  <c r="O97" i="18"/>
  <c r="M97" i="18"/>
  <c r="L97" i="18"/>
  <c r="H102" i="24"/>
  <c r="K108" i="18"/>
  <c r="P108" i="18"/>
  <c r="N108" i="18"/>
  <c r="O108" i="18"/>
  <c r="M108" i="18"/>
  <c r="L108" i="18"/>
  <c r="O56" i="8"/>
  <c r="F17" i="24"/>
  <c r="L55" i="8"/>
  <c r="P55" i="8"/>
  <c r="K55" i="8"/>
  <c r="J97" i="18"/>
  <c r="K99" i="18"/>
  <c r="N52" i="8"/>
  <c r="G13" i="24"/>
  <c r="M203" i="18"/>
  <c r="O203" i="18"/>
  <c r="N140" i="18"/>
  <c r="L140" i="18"/>
  <c r="L203" i="18"/>
  <c r="O140" i="18"/>
  <c r="M140" i="18"/>
  <c r="N203" i="18"/>
  <c r="K203" i="18"/>
  <c r="J140" i="18"/>
  <c r="P140" i="18"/>
  <c r="J203" i="18"/>
  <c r="P203" i="18"/>
  <c r="K140" i="18"/>
  <c r="M54" i="8"/>
  <c r="N54" i="8"/>
  <c r="H56" i="24"/>
  <c r="H36" i="24"/>
  <c r="H94" i="24"/>
  <c r="J100" i="18"/>
  <c r="P100" i="18"/>
  <c r="N100" i="18"/>
  <c r="O100" i="18"/>
  <c r="M100" i="18"/>
  <c r="L100" i="18"/>
  <c r="J49" i="8"/>
  <c r="N49" i="8"/>
  <c r="F10" i="24"/>
  <c r="M60" i="8"/>
  <c r="N60" i="8"/>
  <c r="L106" i="18"/>
  <c r="P106" i="18"/>
  <c r="N106" i="18"/>
  <c r="O106" i="18"/>
  <c r="M106" i="18"/>
  <c r="O61" i="8"/>
  <c r="P61" i="8"/>
  <c r="G22" i="24"/>
  <c r="K52" i="8"/>
  <c r="E72" i="3"/>
  <c r="E14" i="24" s="1"/>
  <c r="F72" i="3"/>
  <c r="F14" i="24" s="1"/>
  <c r="G72" i="3"/>
  <c r="G14" i="24" s="1"/>
  <c r="H72" i="3"/>
  <c r="H14" i="24" s="1"/>
  <c r="G18" i="7"/>
  <c r="E18" i="7"/>
  <c r="H18" i="7"/>
  <c r="F18" i="7"/>
  <c r="P18" i="11"/>
  <c r="N18" i="11"/>
  <c r="O18" i="11"/>
  <c r="M18" i="11"/>
  <c r="L18" i="11"/>
  <c r="L59" i="8"/>
  <c r="H61" i="24"/>
  <c r="H99" i="24"/>
  <c r="H41" i="24"/>
  <c r="M58" i="8"/>
  <c r="M146" i="18"/>
  <c r="N209" i="18"/>
  <c r="P146" i="18"/>
  <c r="J146" i="18"/>
  <c r="N146" i="18"/>
  <c r="O209" i="18"/>
  <c r="L209" i="18"/>
  <c r="K146" i="18"/>
  <c r="J209" i="18"/>
  <c r="K209" i="18"/>
  <c r="O146" i="18"/>
  <c r="L146" i="18"/>
  <c r="M209" i="18"/>
  <c r="P209" i="18"/>
  <c r="P51" i="8"/>
  <c r="L62" i="8"/>
  <c r="P62" i="8"/>
  <c r="O144" i="18"/>
  <c r="K207" i="18"/>
  <c r="K144" i="18"/>
  <c r="P144" i="18"/>
  <c r="L144" i="18"/>
  <c r="N207" i="18"/>
  <c r="J207" i="18"/>
  <c r="P207" i="18"/>
  <c r="M144" i="18"/>
  <c r="N144" i="18"/>
  <c r="M207" i="18"/>
  <c r="O207" i="18"/>
  <c r="J144" i="18"/>
  <c r="L207" i="18"/>
  <c r="G94" i="24"/>
  <c r="G36" i="24"/>
  <c r="G56" i="24"/>
  <c r="J58" i="8"/>
  <c r="G10" i="24"/>
  <c r="P60" i="8"/>
  <c r="M61" i="8"/>
  <c r="H63" i="24"/>
  <c r="I81" i="18"/>
  <c r="E39" i="18"/>
  <c r="E81" i="18" s="1"/>
  <c r="F39" i="18"/>
  <c r="F81" i="18" s="1"/>
  <c r="H39" i="18"/>
  <c r="H81" i="18" s="1"/>
  <c r="G39" i="18"/>
  <c r="G81" i="18" s="1"/>
  <c r="I77" i="18"/>
  <c r="G35" i="18"/>
  <c r="G77" i="18" s="1"/>
  <c r="H35" i="18"/>
  <c r="H77" i="18" s="1"/>
  <c r="F35" i="18"/>
  <c r="F77" i="18" s="1"/>
  <c r="E35" i="18"/>
  <c r="E77" i="18" s="1"/>
  <c r="H79" i="3"/>
  <c r="H21" i="24" s="1"/>
  <c r="F79" i="3"/>
  <c r="F21" i="24" s="1"/>
  <c r="E79" i="3"/>
  <c r="E21" i="24" s="1"/>
  <c r="G79" i="3"/>
  <c r="G21" i="24" s="1"/>
  <c r="J61" i="8"/>
  <c r="K53" i="8"/>
  <c r="J52" i="8"/>
  <c r="G20" i="24"/>
  <c r="P105" i="18"/>
  <c r="N105" i="18"/>
  <c r="O105" i="18"/>
  <c r="M105" i="18"/>
  <c r="L105" i="18"/>
  <c r="K104" i="18"/>
  <c r="P104" i="18"/>
  <c r="N104" i="18"/>
  <c r="O104" i="18"/>
  <c r="M104" i="18"/>
  <c r="L104" i="18"/>
  <c r="O51" i="8"/>
  <c r="M62" i="8"/>
  <c r="N62" i="8"/>
  <c r="E44" i="24"/>
  <c r="N150" i="18"/>
  <c r="M213" i="18"/>
  <c r="K213" i="18"/>
  <c r="L150" i="18"/>
  <c r="P213" i="18"/>
  <c r="K150" i="18"/>
  <c r="O150" i="18"/>
  <c r="N213" i="18"/>
  <c r="L213" i="18"/>
  <c r="P150" i="18"/>
  <c r="M150" i="18"/>
  <c r="J213" i="18"/>
  <c r="O213" i="18"/>
  <c r="J150" i="18"/>
  <c r="M56" i="8"/>
  <c r="N56" i="8"/>
  <c r="G96" i="24"/>
  <c r="P102" i="18"/>
  <c r="N102" i="18"/>
  <c r="O102" i="18"/>
  <c r="M102" i="18"/>
  <c r="L102" i="18"/>
  <c r="O55" i="8"/>
  <c r="H16" i="24"/>
  <c r="J104" i="18"/>
  <c r="L238" i="26"/>
  <c r="J95" i="18"/>
  <c r="O52" i="8"/>
  <c r="E15" i="24"/>
  <c r="M142" i="18"/>
  <c r="N142" i="18"/>
  <c r="O142" i="18"/>
  <c r="O205" i="18"/>
  <c r="J142" i="18"/>
  <c r="P205" i="18"/>
  <c r="J205" i="18"/>
  <c r="K205" i="18"/>
  <c r="K142" i="18"/>
  <c r="L205" i="18"/>
  <c r="M205" i="18"/>
  <c r="L142" i="18"/>
  <c r="N205" i="18"/>
  <c r="P142" i="18"/>
  <c r="M53" i="8"/>
  <c r="N53" i="8"/>
  <c r="I14" i="24"/>
  <c r="I93" i="24" s="1"/>
  <c r="J55" i="8"/>
  <c r="J105" i="18"/>
  <c r="L60" i="8"/>
  <c r="M49" i="8"/>
  <c r="E10" i="24"/>
  <c r="N200" i="18"/>
  <c r="O200" i="18"/>
  <c r="K137" i="18"/>
  <c r="M200" i="18"/>
  <c r="K200" i="18"/>
  <c r="P137" i="18"/>
  <c r="L137" i="18"/>
  <c r="J200" i="18"/>
  <c r="P200" i="18"/>
  <c r="O137" i="18"/>
  <c r="M137" i="18"/>
  <c r="J137" i="18"/>
  <c r="N137" i="18"/>
  <c r="L200" i="18"/>
  <c r="K54" i="8"/>
  <c r="J238" i="26"/>
  <c r="J56" i="8"/>
  <c r="N61" i="8"/>
  <c r="F22" i="24"/>
  <c r="N212" i="18"/>
  <c r="K212" i="18"/>
  <c r="J149" i="18"/>
  <c r="L149" i="18"/>
  <c r="J212" i="18"/>
  <c r="M212" i="18"/>
  <c r="M149" i="18"/>
  <c r="P212" i="18"/>
  <c r="O149" i="18"/>
  <c r="N149" i="18"/>
  <c r="K149" i="18"/>
  <c r="L212" i="18"/>
  <c r="P149" i="18"/>
  <c r="O212" i="18"/>
  <c r="J53" i="8"/>
  <c r="M238" i="25"/>
  <c r="O238" i="25"/>
  <c r="L238" i="25"/>
  <c r="K177" i="25"/>
  <c r="J177" i="25"/>
  <c r="M177" i="25"/>
  <c r="P177" i="25"/>
  <c r="L177" i="25"/>
  <c r="O177" i="25"/>
  <c r="Q88" i="25"/>
  <c r="N177" i="25"/>
  <c r="Q88" i="26"/>
  <c r="I43" i="18" l="1"/>
  <c r="Q15" i="13"/>
  <c r="Q15" i="12" s="1"/>
  <c r="I36" i="18"/>
  <c r="Q10" i="13"/>
  <c r="Q10" i="12" s="1"/>
  <c r="Q17" i="13"/>
  <c r="Q20" i="13"/>
  <c r="Q20" i="12" s="1"/>
  <c r="Q14" i="13"/>
  <c r="Q11" i="13"/>
  <c r="Q32" i="12" s="1"/>
  <c r="Q9" i="13"/>
  <c r="Q16" i="13"/>
  <c r="Q13" i="13"/>
  <c r="Q8" i="13"/>
  <c r="Q7" i="13"/>
  <c r="Q19" i="13"/>
  <c r="Q47" i="3"/>
  <c r="Q49" i="17" s="1"/>
  <c r="Q18" i="13"/>
  <c r="H44" i="24"/>
  <c r="G53" i="24"/>
  <c r="E64" i="24"/>
  <c r="G38" i="24"/>
  <c r="F53" i="24"/>
  <c r="F60" i="24"/>
  <c r="E99" i="24"/>
  <c r="F61" i="24"/>
  <c r="G37" i="24"/>
  <c r="G60" i="24"/>
  <c r="F99" i="24"/>
  <c r="H40" i="24"/>
  <c r="E53" i="24"/>
  <c r="E98" i="24"/>
  <c r="J116" i="18"/>
  <c r="J131" i="17" s="1"/>
  <c r="H34" i="24"/>
  <c r="H60" i="24"/>
  <c r="E57" i="24"/>
  <c r="F34" i="24"/>
  <c r="F92" i="24"/>
  <c r="E61" i="24"/>
  <c r="F37" i="24"/>
  <c r="G95" i="24"/>
  <c r="G40" i="24"/>
  <c r="F95" i="24"/>
  <c r="F98" i="24"/>
  <c r="F44" i="24"/>
  <c r="H54" i="24"/>
  <c r="E33" i="24"/>
  <c r="E40" i="24"/>
  <c r="H38" i="24"/>
  <c r="E37" i="24"/>
  <c r="F102" i="24"/>
  <c r="E96" i="24"/>
  <c r="H101" i="24"/>
  <c r="E38" i="24"/>
  <c r="I85" i="18"/>
  <c r="F43" i="18"/>
  <c r="F85" i="18" s="1"/>
  <c r="E43" i="18"/>
  <c r="E85" i="18" s="1"/>
  <c r="G43" i="18"/>
  <c r="G85" i="18" s="1"/>
  <c r="H43" i="18"/>
  <c r="H85" i="18" s="1"/>
  <c r="H57" i="24"/>
  <c r="H95" i="24"/>
  <c r="H37" i="24"/>
  <c r="E42" i="24"/>
  <c r="E100" i="24"/>
  <c r="E62" i="24"/>
  <c r="G93" i="24"/>
  <c r="G35" i="24"/>
  <c r="G55" i="24"/>
  <c r="G74" i="18"/>
  <c r="P128" i="18"/>
  <c r="N128" i="18"/>
  <c r="O128" i="18"/>
  <c r="M128" i="18"/>
  <c r="L128" i="18"/>
  <c r="K128" i="18"/>
  <c r="J128" i="18"/>
  <c r="G102" i="24"/>
  <c r="G44" i="24"/>
  <c r="G64" i="24"/>
  <c r="I78" i="18"/>
  <c r="E36" i="18"/>
  <c r="E78" i="18" s="1"/>
  <c r="F36" i="18"/>
  <c r="F78" i="18" s="1"/>
  <c r="G36" i="18"/>
  <c r="G78" i="18" s="1"/>
  <c r="H36" i="18"/>
  <c r="H78" i="18" s="1"/>
  <c r="Q18" i="12"/>
  <c r="Q39" i="12"/>
  <c r="Q30" i="12"/>
  <c r="Q9" i="12"/>
  <c r="Q16" i="12"/>
  <c r="Q37" i="12"/>
  <c r="F42" i="24"/>
  <c r="F62" i="24"/>
  <c r="F100" i="24"/>
  <c r="P119" i="18"/>
  <c r="N119" i="18"/>
  <c r="O119" i="18"/>
  <c r="M119" i="18"/>
  <c r="L119" i="18"/>
  <c r="K119" i="18"/>
  <c r="J119" i="18"/>
  <c r="F35" i="24"/>
  <c r="F55" i="24"/>
  <c r="F93" i="24"/>
  <c r="F51" i="24"/>
  <c r="F31" i="24"/>
  <c r="F89" i="24"/>
  <c r="K131" i="19"/>
  <c r="K131" i="17"/>
  <c r="H74" i="18"/>
  <c r="P125" i="18"/>
  <c r="N125" i="18"/>
  <c r="O125" i="18"/>
  <c r="M125" i="18"/>
  <c r="L125" i="18"/>
  <c r="J125" i="18"/>
  <c r="K125" i="18"/>
  <c r="H89" i="24"/>
  <c r="H51" i="24"/>
  <c r="H31" i="24"/>
  <c r="P121" i="18"/>
  <c r="N121" i="18"/>
  <c r="O121" i="18"/>
  <c r="M121" i="18"/>
  <c r="L121" i="18"/>
  <c r="K121" i="18"/>
  <c r="J121" i="18"/>
  <c r="G61" i="24"/>
  <c r="G99" i="24"/>
  <c r="G41" i="24"/>
  <c r="G101" i="24"/>
  <c r="G63" i="24"/>
  <c r="G43" i="24"/>
  <c r="F96" i="24"/>
  <c r="F58" i="24"/>
  <c r="F38" i="24"/>
  <c r="P118" i="18"/>
  <c r="N118" i="18"/>
  <c r="O118" i="18"/>
  <c r="M118" i="18"/>
  <c r="L118" i="18"/>
  <c r="K118" i="18"/>
  <c r="J118" i="18"/>
  <c r="Q31" i="12"/>
  <c r="Q38" i="12"/>
  <c r="Q17" i="12"/>
  <c r="Q41" i="12"/>
  <c r="Q35" i="12"/>
  <c r="Q14" i="12"/>
  <c r="Q11" i="12"/>
  <c r="F43" i="24"/>
  <c r="F101" i="24"/>
  <c r="F63" i="24"/>
  <c r="L141" i="18"/>
  <c r="N204" i="18"/>
  <c r="J204" i="18"/>
  <c r="M141" i="18"/>
  <c r="N141" i="18"/>
  <c r="O141" i="18"/>
  <c r="O204" i="18"/>
  <c r="J141" i="18"/>
  <c r="P204" i="18"/>
  <c r="M204" i="18"/>
  <c r="K204" i="18"/>
  <c r="K141" i="18"/>
  <c r="L204" i="18"/>
  <c r="P141" i="18"/>
  <c r="H62" i="24"/>
  <c r="H42" i="24"/>
  <c r="H100" i="24"/>
  <c r="P123" i="18"/>
  <c r="N123" i="18"/>
  <c r="O123" i="18"/>
  <c r="M123" i="18"/>
  <c r="L123" i="18"/>
  <c r="K123" i="18"/>
  <c r="J123" i="18"/>
  <c r="E35" i="24"/>
  <c r="E55" i="24"/>
  <c r="E93" i="24"/>
  <c r="G34" i="24"/>
  <c r="G92" i="24"/>
  <c r="G54" i="24"/>
  <c r="E74" i="18"/>
  <c r="E101" i="24"/>
  <c r="E43" i="24"/>
  <c r="E63" i="24"/>
  <c r="F94" i="24"/>
  <c r="F36" i="24"/>
  <c r="F56" i="24"/>
  <c r="P126" i="18"/>
  <c r="N126" i="18"/>
  <c r="O126" i="18"/>
  <c r="M126" i="18"/>
  <c r="L126" i="18"/>
  <c r="K126" i="18"/>
  <c r="J126" i="18"/>
  <c r="Q13" i="12"/>
  <c r="Q34" i="12"/>
  <c r="Q29" i="12"/>
  <c r="Q8" i="12"/>
  <c r="Q7" i="12"/>
  <c r="Q28" i="12"/>
  <c r="Q19" i="12"/>
  <c r="Q40" i="12"/>
  <c r="E31" i="24"/>
  <c r="E89" i="24"/>
  <c r="E51" i="24"/>
  <c r="E36" i="24"/>
  <c r="E56" i="24"/>
  <c r="E94" i="24"/>
  <c r="G62" i="24"/>
  <c r="G100" i="24"/>
  <c r="G42" i="24"/>
  <c r="G89" i="24"/>
  <c r="G31" i="24"/>
  <c r="G51" i="24"/>
  <c r="H55" i="24"/>
  <c r="H35" i="24"/>
  <c r="H93" i="24"/>
  <c r="J131" i="19"/>
  <c r="F74" i="18"/>
  <c r="P116" i="18"/>
  <c r="N116" i="18"/>
  <c r="O116" i="18"/>
  <c r="M116" i="18"/>
  <c r="L116" i="18"/>
  <c r="P129" i="18"/>
  <c r="N129" i="18"/>
  <c r="O129" i="18"/>
  <c r="M129" i="18"/>
  <c r="L129" i="18"/>
  <c r="K129" i="18"/>
  <c r="J129" i="18"/>
  <c r="P122" i="18"/>
  <c r="N122" i="18"/>
  <c r="O122" i="18"/>
  <c r="M122" i="18"/>
  <c r="L122" i="18"/>
  <c r="J122" i="18"/>
  <c r="K122" i="18"/>
  <c r="Q43" i="25"/>
  <c r="Q58" i="26"/>
  <c r="Q208" i="26"/>
  <c r="Q73" i="25"/>
  <c r="Q28" i="26"/>
  <c r="Q13" i="26"/>
  <c r="Q163" i="25"/>
  <c r="J10" i="25"/>
  <c r="Q133" i="25"/>
  <c r="Q178" i="25"/>
  <c r="Q148" i="25"/>
  <c r="K10" i="25"/>
  <c r="Q58" i="25"/>
  <c r="Q208" i="25"/>
  <c r="Q73" i="26"/>
  <c r="Q28" i="25"/>
  <c r="Q193" i="25"/>
  <c r="Q118" i="25"/>
  <c r="Q103" i="26"/>
  <c r="Q178" i="26"/>
  <c r="Q148" i="26"/>
  <c r="K9" i="25"/>
  <c r="Q163" i="26"/>
  <c r="Q118" i="26"/>
  <c r="Q103" i="25"/>
  <c r="Q13" i="25"/>
  <c r="Q193" i="26"/>
  <c r="J9" i="25"/>
  <c r="Q43" i="26"/>
  <c r="Q52" i="3" l="1"/>
  <c r="Q54" i="19" s="1"/>
  <c r="Q73" i="3"/>
  <c r="Q56" i="3"/>
  <c r="Q57" i="3"/>
  <c r="Q50" i="3"/>
  <c r="Q49" i="3"/>
  <c r="Q68" i="3"/>
  <c r="Q53" i="18" s="1"/>
  <c r="Q49" i="19"/>
  <c r="Q78" i="3"/>
  <c r="Q63" i="18" s="1"/>
  <c r="Q22" i="13"/>
  <c r="Q77" i="3"/>
  <c r="Q62" i="18" s="1"/>
  <c r="Q53" i="3"/>
  <c r="Q71" i="3"/>
  <c r="Q13" i="24" s="1"/>
  <c r="Q92" i="24" s="1"/>
  <c r="Q74" i="3"/>
  <c r="Q70" i="3"/>
  <c r="Q12" i="24" s="1"/>
  <c r="Q91" i="24" s="1"/>
  <c r="Q21" i="13"/>
  <c r="Q36" i="12"/>
  <c r="Q81" i="3"/>
  <c r="Q59" i="3"/>
  <c r="Q60" i="3"/>
  <c r="Q51" i="3"/>
  <c r="Q54" i="3"/>
  <c r="Q75" i="3"/>
  <c r="Q80" i="3"/>
  <c r="Q223" i="25"/>
  <c r="Q61" i="17"/>
  <c r="Q61" i="19"/>
  <c r="Q65" i="18"/>
  <c r="Q22" i="24"/>
  <c r="Q101" i="24" s="1"/>
  <c r="N137" i="17"/>
  <c r="N137" i="19"/>
  <c r="P144" i="19"/>
  <c r="P144" i="17"/>
  <c r="O141" i="19"/>
  <c r="O141" i="17"/>
  <c r="J133" i="17"/>
  <c r="J133" i="19"/>
  <c r="L136" i="19"/>
  <c r="L136" i="17"/>
  <c r="O140" i="17"/>
  <c r="O140" i="19"/>
  <c r="Q52" i="17"/>
  <c r="Q52" i="19"/>
  <c r="Q56" i="18"/>
  <c r="L137" i="19"/>
  <c r="L137" i="17"/>
  <c r="P137" i="17"/>
  <c r="P137" i="19"/>
  <c r="M144" i="19"/>
  <c r="M144" i="17"/>
  <c r="L131" i="19"/>
  <c r="L131" i="17"/>
  <c r="P131" i="17"/>
  <c r="P131" i="19"/>
  <c r="J151" i="17"/>
  <c r="J131" i="8"/>
  <c r="J7" i="17"/>
  <c r="Q21" i="12"/>
  <c r="Q13" i="22" s="1"/>
  <c r="K141" i="17"/>
  <c r="K141" i="19"/>
  <c r="N141" i="17"/>
  <c r="N141" i="19"/>
  <c r="J138" i="19"/>
  <c r="J138" i="17"/>
  <c r="O138" i="17"/>
  <c r="O138" i="19"/>
  <c r="K133" i="19"/>
  <c r="K133" i="17"/>
  <c r="N133" i="17"/>
  <c r="N133" i="19"/>
  <c r="Q10" i="24"/>
  <c r="Q89" i="24" s="1"/>
  <c r="M136" i="19"/>
  <c r="M136" i="17"/>
  <c r="J140" i="19"/>
  <c r="J140" i="17"/>
  <c r="N140" i="19"/>
  <c r="N140" i="17"/>
  <c r="K131" i="8"/>
  <c r="K151" i="17"/>
  <c r="K7" i="17"/>
  <c r="L134" i="17"/>
  <c r="L134" i="19"/>
  <c r="P134" i="17"/>
  <c r="P134" i="19"/>
  <c r="J143" i="17"/>
  <c r="J143" i="19"/>
  <c r="O143" i="19"/>
  <c r="O143" i="17"/>
  <c r="J137" i="17"/>
  <c r="J137" i="19"/>
  <c r="L144" i="17"/>
  <c r="L144" i="19"/>
  <c r="N131" i="19"/>
  <c r="N131" i="17"/>
  <c r="M138" i="17"/>
  <c r="M138" i="19"/>
  <c r="O133" i="17"/>
  <c r="O133" i="19"/>
  <c r="K140" i="17"/>
  <c r="K140" i="19"/>
  <c r="K134" i="19"/>
  <c r="K134" i="17"/>
  <c r="M143" i="17"/>
  <c r="M143" i="19"/>
  <c r="Q58" i="17"/>
  <c r="Q58" i="19"/>
  <c r="M137" i="19"/>
  <c r="M137" i="17"/>
  <c r="J144" i="19"/>
  <c r="J144" i="17"/>
  <c r="O144" i="19"/>
  <c r="O144" i="17"/>
  <c r="M131" i="19"/>
  <c r="M131" i="17"/>
  <c r="L141" i="19"/>
  <c r="L141" i="17"/>
  <c r="P141" i="19"/>
  <c r="P141" i="17"/>
  <c r="K138" i="19"/>
  <c r="K138" i="17"/>
  <c r="N138" i="19"/>
  <c r="N138" i="17"/>
  <c r="L133" i="17"/>
  <c r="L133" i="19"/>
  <c r="P133" i="17"/>
  <c r="P133" i="19"/>
  <c r="J136" i="19"/>
  <c r="J136" i="17"/>
  <c r="O136" i="17"/>
  <c r="O136" i="19"/>
  <c r="L140" i="19"/>
  <c r="L140" i="17"/>
  <c r="P140" i="17"/>
  <c r="P140" i="19"/>
  <c r="K151" i="19"/>
  <c r="K7" i="19"/>
  <c r="M134" i="17"/>
  <c r="M134" i="19"/>
  <c r="K143" i="17"/>
  <c r="K143" i="19"/>
  <c r="N143" i="19"/>
  <c r="N143" i="17"/>
  <c r="Q58" i="18"/>
  <c r="J151" i="19"/>
  <c r="J7" i="19"/>
  <c r="J141" i="17"/>
  <c r="J141" i="19"/>
  <c r="P136" i="19"/>
  <c r="P136" i="17"/>
  <c r="N134" i="17"/>
  <c r="N134" i="19"/>
  <c r="Q59" i="17"/>
  <c r="Q59" i="19"/>
  <c r="Q20" i="24"/>
  <c r="Q99" i="24" s="1"/>
  <c r="Q51" i="19"/>
  <c r="Q51" i="17"/>
  <c r="Q16" i="24"/>
  <c r="Q95" i="24" s="1"/>
  <c r="Q55" i="17"/>
  <c r="Q59" i="18"/>
  <c r="Q55" i="19"/>
  <c r="Q62" i="19"/>
  <c r="Q66" i="18"/>
  <c r="Q23" i="24"/>
  <c r="Q102" i="24" s="1"/>
  <c r="Q62" i="17"/>
  <c r="Q53" i="17"/>
  <c r="Q53" i="19"/>
  <c r="Q17" i="24"/>
  <c r="Q96" i="24" s="1"/>
  <c r="Q56" i="17"/>
  <c r="Q60" i="18"/>
  <c r="Q56" i="19"/>
  <c r="K137" i="19"/>
  <c r="K137" i="17"/>
  <c r="O137" i="17"/>
  <c r="O137" i="19"/>
  <c r="K144" i="19"/>
  <c r="K144" i="17"/>
  <c r="N144" i="17"/>
  <c r="N144" i="19"/>
  <c r="O131" i="17"/>
  <c r="O131" i="19"/>
  <c r="Q42" i="12"/>
  <c r="Q26" i="22" s="1"/>
  <c r="M141" i="17"/>
  <c r="M141" i="19"/>
  <c r="L138" i="19"/>
  <c r="L138" i="17"/>
  <c r="P138" i="17"/>
  <c r="P138" i="19"/>
  <c r="M133" i="17"/>
  <c r="M133" i="19"/>
  <c r="Q49" i="8"/>
  <c r="K136" i="17"/>
  <c r="K136" i="19"/>
  <c r="N136" i="19"/>
  <c r="N136" i="17"/>
  <c r="M140" i="19"/>
  <c r="M140" i="17"/>
  <c r="J134" i="17"/>
  <c r="J134" i="19"/>
  <c r="O134" i="17"/>
  <c r="O134" i="19"/>
  <c r="P120" i="18"/>
  <c r="N120" i="18"/>
  <c r="O120" i="18"/>
  <c r="M120" i="18"/>
  <c r="L120" i="18"/>
  <c r="J120" i="18"/>
  <c r="K120" i="18"/>
  <c r="L143" i="17"/>
  <c r="L143" i="19"/>
  <c r="P143" i="17"/>
  <c r="P143" i="19"/>
  <c r="P127" i="18"/>
  <c r="N127" i="18"/>
  <c r="O127" i="18"/>
  <c r="M127" i="18"/>
  <c r="L127" i="18"/>
  <c r="J127" i="18"/>
  <c r="K127" i="18"/>
  <c r="Q133" i="26"/>
  <c r="J7" i="25"/>
  <c r="P205" i="25"/>
  <c r="J39" i="25"/>
  <c r="O144" i="25"/>
  <c r="P99" i="25"/>
  <c r="L10" i="25"/>
  <c r="J9" i="26"/>
  <c r="N160" i="25"/>
  <c r="O115" i="25"/>
  <c r="N40" i="25"/>
  <c r="J145" i="25"/>
  <c r="L54" i="25"/>
  <c r="J189" i="25"/>
  <c r="J99" i="25"/>
  <c r="N10" i="25"/>
  <c r="O39" i="25"/>
  <c r="K55" i="25"/>
  <c r="J204" i="25"/>
  <c r="M9" i="25"/>
  <c r="P159" i="25"/>
  <c r="N114" i="25"/>
  <c r="P40" i="25"/>
  <c r="J84" i="25"/>
  <c r="L144" i="25"/>
  <c r="K189" i="25"/>
  <c r="J10" i="26"/>
  <c r="J160" i="25"/>
  <c r="N55" i="25"/>
  <c r="K100" i="25"/>
  <c r="K205" i="25"/>
  <c r="O9" i="25"/>
  <c r="M160" i="25"/>
  <c r="P115" i="25"/>
  <c r="N85" i="25"/>
  <c r="J54" i="25"/>
  <c r="L190" i="25"/>
  <c r="O54" i="25"/>
  <c r="J8" i="25"/>
  <c r="O159" i="25"/>
  <c r="L99" i="25"/>
  <c r="O114" i="25"/>
  <c r="N144" i="25"/>
  <c r="L205" i="25"/>
  <c r="N115" i="25"/>
  <c r="L145" i="25"/>
  <c r="M159" i="25"/>
  <c r="K85" i="25"/>
  <c r="K8" i="25"/>
  <c r="P204" i="25"/>
  <c r="J40" i="25"/>
  <c r="O145" i="25"/>
  <c r="P100" i="25"/>
  <c r="L9" i="25"/>
  <c r="K159" i="25"/>
  <c r="J115" i="25"/>
  <c r="K40" i="25"/>
  <c r="J144" i="25"/>
  <c r="K9" i="26"/>
  <c r="L55" i="25"/>
  <c r="J190" i="25"/>
  <c r="J100" i="25"/>
  <c r="N9" i="25"/>
  <c r="O40" i="25"/>
  <c r="K54" i="25"/>
  <c r="M100" i="25"/>
  <c r="O205" i="25"/>
  <c r="L160" i="25"/>
  <c r="K115" i="25"/>
  <c r="L39" i="25"/>
  <c r="O84" i="25"/>
  <c r="P144" i="25"/>
  <c r="K190" i="25"/>
  <c r="P85" i="25"/>
  <c r="K99" i="25"/>
  <c r="K204" i="25"/>
  <c r="O10" i="25"/>
  <c r="L115" i="25"/>
  <c r="M39" i="25"/>
  <c r="N84" i="25"/>
  <c r="J55" i="25"/>
  <c r="P189" i="25"/>
  <c r="M145" i="25"/>
  <c r="P190" i="25"/>
  <c r="K7" i="25"/>
  <c r="N100" i="25"/>
  <c r="M204" i="25"/>
  <c r="N159" i="25"/>
  <c r="N39" i="25"/>
  <c r="P55" i="25"/>
  <c r="M115" i="25"/>
  <c r="M190" i="25"/>
  <c r="M10" i="25"/>
  <c r="P39" i="25"/>
  <c r="M55" i="25"/>
  <c r="J159" i="25"/>
  <c r="N205" i="25"/>
  <c r="P114" i="25"/>
  <c r="O55" i="25"/>
  <c r="N99" i="25"/>
  <c r="O160" i="25"/>
  <c r="L85" i="25"/>
  <c r="L100" i="25"/>
  <c r="M205" i="25"/>
  <c r="P9" i="25"/>
  <c r="K160" i="25"/>
  <c r="J114" i="25"/>
  <c r="K39" i="25"/>
  <c r="M85" i="25"/>
  <c r="N145" i="25"/>
  <c r="P54" i="25"/>
  <c r="O190" i="25"/>
  <c r="L204" i="25"/>
  <c r="M114" i="25"/>
  <c r="K144" i="25"/>
  <c r="M189" i="25"/>
  <c r="M99" i="25"/>
  <c r="O204" i="25"/>
  <c r="L159" i="25"/>
  <c r="K114" i="25"/>
  <c r="L40" i="25"/>
  <c r="O85" i="25"/>
  <c r="P145" i="25"/>
  <c r="M54" i="25"/>
  <c r="N190" i="25"/>
  <c r="P84" i="25"/>
  <c r="O99" i="25"/>
  <c r="N204" i="25"/>
  <c r="L114" i="25"/>
  <c r="M40" i="25"/>
  <c r="K84" i="25"/>
  <c r="L84" i="25"/>
  <c r="P10" i="25"/>
  <c r="M84" i="25"/>
  <c r="O189" i="25"/>
  <c r="K145" i="25"/>
  <c r="J205" i="25"/>
  <c r="P160" i="25"/>
  <c r="J85" i="25"/>
  <c r="K10" i="26"/>
  <c r="N189" i="25"/>
  <c r="N54" i="25"/>
  <c r="O100" i="25"/>
  <c r="M144" i="25"/>
  <c r="L189" i="25"/>
  <c r="Q223" i="26" l="1"/>
  <c r="Q238" i="26" s="1"/>
  <c r="Q41" i="18"/>
  <c r="Q45" i="18"/>
  <c r="Q32" i="18"/>
  <c r="Q55" i="18"/>
  <c r="Q97" i="18" s="1"/>
  <c r="Q15" i="24"/>
  <c r="Q94" i="24" s="1"/>
  <c r="Q19" i="24"/>
  <c r="Q98" i="24" s="1"/>
  <c r="Q79" i="3"/>
  <c r="Q39" i="18"/>
  <c r="Q18" i="7"/>
  <c r="Q18" i="11" s="1"/>
  <c r="Q34" i="18"/>
  <c r="Q44" i="18"/>
  <c r="Q86" i="18" s="1"/>
  <c r="Q128" i="18" s="1"/>
  <c r="Q38" i="18"/>
  <c r="Q54" i="17"/>
  <c r="Q35" i="18"/>
  <c r="Q77" i="18" s="1"/>
  <c r="Q72" i="3"/>
  <c r="Q14" i="24" s="1"/>
  <c r="Q93" i="24" s="1"/>
  <c r="Q58" i="3"/>
  <c r="Q42" i="18"/>
  <c r="Q84" i="18" s="1"/>
  <c r="Q126" i="18" s="1"/>
  <c r="Q37" i="18"/>
  <c r="Q119" i="18"/>
  <c r="Q83" i="18"/>
  <c r="Q125" i="18" s="1"/>
  <c r="Q87" i="18"/>
  <c r="Q81" i="18"/>
  <c r="Q123" i="18" s="1"/>
  <c r="Q100" i="18"/>
  <c r="Q102" i="18"/>
  <c r="Q57" i="18"/>
  <c r="Q99" i="18" s="1"/>
  <c r="Q101" i="18"/>
  <c r="K14" i="25"/>
  <c r="J14" i="25"/>
  <c r="L163" i="17"/>
  <c r="L143" i="8"/>
  <c r="L19" i="8" s="1"/>
  <c r="L19" i="16" s="1"/>
  <c r="L19" i="17"/>
  <c r="M140" i="8"/>
  <c r="M16" i="8" s="1"/>
  <c r="M16" i="16" s="1"/>
  <c r="M160" i="17"/>
  <c r="M16" i="17"/>
  <c r="O157" i="19"/>
  <c r="O13" i="19"/>
  <c r="Q213" i="18"/>
  <c r="Q150" i="18"/>
  <c r="N154" i="17"/>
  <c r="N134" i="8"/>
  <c r="N10" i="8" s="1"/>
  <c r="N10" i="16" s="1"/>
  <c r="N10" i="17"/>
  <c r="N143" i="8"/>
  <c r="N19" i="8" s="1"/>
  <c r="N19" i="16" s="1"/>
  <c r="N163" i="17"/>
  <c r="N19" i="17"/>
  <c r="K28" i="19"/>
  <c r="J156" i="19"/>
  <c r="J12" i="19"/>
  <c r="P161" i="19"/>
  <c r="P17" i="19"/>
  <c r="J164" i="19"/>
  <c r="J20" i="19"/>
  <c r="K160" i="19"/>
  <c r="K16" i="19"/>
  <c r="O143" i="8"/>
  <c r="O19" i="8" s="1"/>
  <c r="O19" i="16" s="1"/>
  <c r="O163" i="17"/>
  <c r="O19" i="17"/>
  <c r="K7" i="3"/>
  <c r="M156" i="17"/>
  <c r="M136" i="8"/>
  <c r="M12" i="8" s="1"/>
  <c r="M12" i="16" s="1"/>
  <c r="M12" i="17"/>
  <c r="P151" i="19"/>
  <c r="P7" i="19"/>
  <c r="L156" i="17"/>
  <c r="L136" i="8"/>
  <c r="L12" i="8" s="1"/>
  <c r="L12" i="16" s="1"/>
  <c r="L12" i="17"/>
  <c r="Q74" i="18"/>
  <c r="K135" i="17"/>
  <c r="K135" i="19"/>
  <c r="O135" i="19"/>
  <c r="O135" i="17"/>
  <c r="K156" i="17"/>
  <c r="K136" i="8"/>
  <c r="K12" i="8" s="1"/>
  <c r="K12" i="17"/>
  <c r="M153" i="19"/>
  <c r="M9" i="19"/>
  <c r="L158" i="17"/>
  <c r="L138" i="8"/>
  <c r="L14" i="8" s="1"/>
  <c r="L14" i="16" s="1"/>
  <c r="L14" i="17"/>
  <c r="N144" i="8"/>
  <c r="N20" i="8" s="1"/>
  <c r="N20" i="16" s="1"/>
  <c r="N164" i="17"/>
  <c r="N20" i="17"/>
  <c r="O137" i="8"/>
  <c r="O13" i="8" s="1"/>
  <c r="O13" i="16" s="1"/>
  <c r="O157" i="17"/>
  <c r="O13" i="17"/>
  <c r="O13" i="3" s="1"/>
  <c r="Q108" i="18"/>
  <c r="Q55" i="8"/>
  <c r="Q139" i="18"/>
  <c r="Q202" i="18"/>
  <c r="Q59" i="8"/>
  <c r="P156" i="17"/>
  <c r="P136" i="8"/>
  <c r="P12" i="8" s="1"/>
  <c r="P12" i="16" s="1"/>
  <c r="P12" i="17"/>
  <c r="Q205" i="18"/>
  <c r="Q142" i="18"/>
  <c r="N163" i="19"/>
  <c r="N19" i="19"/>
  <c r="M134" i="8"/>
  <c r="M10" i="8" s="1"/>
  <c r="M10" i="16" s="1"/>
  <c r="M154" i="17"/>
  <c r="M10" i="17"/>
  <c r="P160" i="19"/>
  <c r="P16" i="19"/>
  <c r="O156" i="19"/>
  <c r="O12" i="19"/>
  <c r="L153" i="19"/>
  <c r="L9" i="19"/>
  <c r="K138" i="8"/>
  <c r="K14" i="8" s="1"/>
  <c r="K14" i="16" s="1"/>
  <c r="K158" i="17"/>
  <c r="K14" i="17"/>
  <c r="L161" i="17"/>
  <c r="L141" i="8"/>
  <c r="L17" i="8" s="1"/>
  <c r="L17" i="17"/>
  <c r="O144" i="8"/>
  <c r="O20" i="8" s="1"/>
  <c r="O20" i="16" s="1"/>
  <c r="O164" i="17"/>
  <c r="O20" i="17"/>
  <c r="M137" i="8"/>
  <c r="M13" i="8" s="1"/>
  <c r="M13" i="16" s="1"/>
  <c r="M157" i="17"/>
  <c r="M13" i="17"/>
  <c r="Q209" i="18"/>
  <c r="Q146" i="18"/>
  <c r="M163" i="17"/>
  <c r="M143" i="8"/>
  <c r="M19" i="8" s="1"/>
  <c r="M19" i="16" s="1"/>
  <c r="M19" i="17"/>
  <c r="K160" i="17"/>
  <c r="K140" i="8"/>
  <c r="K16" i="8" s="1"/>
  <c r="K16" i="16" s="1"/>
  <c r="K16" i="17"/>
  <c r="M138" i="8"/>
  <c r="M14" i="8" s="1"/>
  <c r="M14" i="16" s="1"/>
  <c r="M158" i="17"/>
  <c r="M14" i="17"/>
  <c r="L164" i="17"/>
  <c r="L144" i="8"/>
  <c r="L20" i="8" s="1"/>
  <c r="L20" i="16" s="1"/>
  <c r="L20" i="17"/>
  <c r="O163" i="19"/>
  <c r="O19" i="19"/>
  <c r="P154" i="17"/>
  <c r="P134" i="8"/>
  <c r="P10" i="8" s="1"/>
  <c r="P10" i="16" s="1"/>
  <c r="P10" i="17"/>
  <c r="N160" i="19"/>
  <c r="N16" i="19"/>
  <c r="M156" i="19"/>
  <c r="M12" i="19"/>
  <c r="K153" i="17"/>
  <c r="K133" i="8"/>
  <c r="K9" i="8" s="1"/>
  <c r="K9" i="16" s="1"/>
  <c r="K9" i="17"/>
  <c r="J158" i="17"/>
  <c r="J138" i="8"/>
  <c r="J14" i="8" s="1"/>
  <c r="J14" i="17"/>
  <c r="K161" i="19"/>
  <c r="K17" i="19"/>
  <c r="P151" i="17"/>
  <c r="P131" i="8"/>
  <c r="P7" i="17"/>
  <c r="M164" i="19"/>
  <c r="M20" i="19"/>
  <c r="L157" i="19"/>
  <c r="L13" i="19"/>
  <c r="Q140" i="18"/>
  <c r="Q203" i="18"/>
  <c r="L156" i="19"/>
  <c r="L12" i="19"/>
  <c r="O161" i="19"/>
  <c r="O17" i="19"/>
  <c r="N157" i="17"/>
  <c r="N137" i="8"/>
  <c r="N13" i="8" s="1"/>
  <c r="N13" i="17"/>
  <c r="Q61" i="8"/>
  <c r="Q238" i="25"/>
  <c r="L142" i="19"/>
  <c r="L142" i="17"/>
  <c r="O154" i="19"/>
  <c r="O10" i="19"/>
  <c r="P158" i="17"/>
  <c r="P138" i="8"/>
  <c r="P14" i="8" s="1"/>
  <c r="P14" i="17"/>
  <c r="N164" i="19"/>
  <c r="N20" i="19"/>
  <c r="J161" i="17"/>
  <c r="J141" i="8"/>
  <c r="J17" i="8" s="1"/>
  <c r="J17" i="17"/>
  <c r="M154" i="19"/>
  <c r="M10" i="19"/>
  <c r="P133" i="8"/>
  <c r="P9" i="8" s="1"/>
  <c r="P9" i="16" s="1"/>
  <c r="P153" i="17"/>
  <c r="P9" i="17"/>
  <c r="M151" i="19"/>
  <c r="M7" i="19"/>
  <c r="M163" i="19"/>
  <c r="M19" i="19"/>
  <c r="M158" i="19"/>
  <c r="M14" i="19"/>
  <c r="P154" i="19"/>
  <c r="P10" i="19"/>
  <c r="N153" i="17"/>
  <c r="N133" i="8"/>
  <c r="N9" i="8" s="1"/>
  <c r="N9" i="16" s="1"/>
  <c r="N9" i="17"/>
  <c r="N161" i="17"/>
  <c r="N141" i="8"/>
  <c r="N17" i="8" s="1"/>
  <c r="N17" i="16" s="1"/>
  <c r="N17" i="17"/>
  <c r="M144" i="8"/>
  <c r="M20" i="8" s="1"/>
  <c r="M20" i="16" s="1"/>
  <c r="M164" i="17"/>
  <c r="M20" i="17"/>
  <c r="Q52" i="8"/>
  <c r="N157" i="19"/>
  <c r="N13" i="19"/>
  <c r="P163" i="19"/>
  <c r="P19" i="19"/>
  <c r="M160" i="19"/>
  <c r="M16" i="19"/>
  <c r="Q76" i="18"/>
  <c r="Q118" i="18" s="1"/>
  <c r="Q80" i="18"/>
  <c r="Q122" i="18" s="1"/>
  <c r="K142" i="17"/>
  <c r="K142" i="19"/>
  <c r="O142" i="17"/>
  <c r="O142" i="19"/>
  <c r="P163" i="17"/>
  <c r="P143" i="8"/>
  <c r="P19" i="8" s="1"/>
  <c r="P19" i="16" s="1"/>
  <c r="P19" i="17"/>
  <c r="J135" i="19"/>
  <c r="J135" i="17"/>
  <c r="N135" i="17"/>
  <c r="N135" i="19"/>
  <c r="J154" i="19"/>
  <c r="J10" i="19"/>
  <c r="N136" i="8"/>
  <c r="N12" i="8" s="1"/>
  <c r="N12" i="16" s="1"/>
  <c r="N156" i="17"/>
  <c r="N12" i="17"/>
  <c r="M153" i="17"/>
  <c r="M133" i="8"/>
  <c r="M9" i="8" s="1"/>
  <c r="M9" i="17"/>
  <c r="L158" i="19"/>
  <c r="L14" i="19"/>
  <c r="O151" i="19"/>
  <c r="O7" i="19"/>
  <c r="K164" i="17"/>
  <c r="K144" i="8"/>
  <c r="K20" i="8" s="1"/>
  <c r="K20" i="17"/>
  <c r="K137" i="8"/>
  <c r="K13" i="8" s="1"/>
  <c r="K13" i="16" s="1"/>
  <c r="K157" i="17"/>
  <c r="K13" i="17"/>
  <c r="Q56" i="8"/>
  <c r="Q53" i="8"/>
  <c r="Q143" i="18"/>
  <c r="Q206" i="18"/>
  <c r="Q105" i="18"/>
  <c r="P156" i="19"/>
  <c r="P12" i="19"/>
  <c r="Q54" i="8"/>
  <c r="K163" i="19"/>
  <c r="K19" i="19"/>
  <c r="P140" i="8"/>
  <c r="P16" i="8" s="1"/>
  <c r="P16" i="16" s="1"/>
  <c r="P160" i="17"/>
  <c r="P16" i="17"/>
  <c r="O156" i="17"/>
  <c r="O136" i="8"/>
  <c r="O12" i="8" s="1"/>
  <c r="O12" i="16" s="1"/>
  <c r="O12" i="17"/>
  <c r="L133" i="8"/>
  <c r="L9" i="8" s="1"/>
  <c r="L153" i="17"/>
  <c r="L9" i="17"/>
  <c r="L9" i="3" s="1"/>
  <c r="K158" i="19"/>
  <c r="K14" i="19"/>
  <c r="L161" i="19"/>
  <c r="L17" i="19"/>
  <c r="O164" i="19"/>
  <c r="O20" i="19"/>
  <c r="M157" i="19"/>
  <c r="M13" i="19"/>
  <c r="Q58" i="8"/>
  <c r="K134" i="8"/>
  <c r="K10" i="8" s="1"/>
  <c r="K10" i="16" s="1"/>
  <c r="K154" i="17"/>
  <c r="K10" i="17"/>
  <c r="O153" i="19"/>
  <c r="O9" i="19"/>
  <c r="N131" i="8"/>
  <c r="N151" i="17"/>
  <c r="N7" i="17"/>
  <c r="J157" i="19"/>
  <c r="J13" i="19"/>
  <c r="J163" i="19"/>
  <c r="J19" i="19"/>
  <c r="L154" i="19"/>
  <c r="L10" i="19"/>
  <c r="K151" i="8"/>
  <c r="K28" i="17"/>
  <c r="J160" i="17"/>
  <c r="J140" i="8"/>
  <c r="J16" i="8" s="1"/>
  <c r="J16" i="16" s="1"/>
  <c r="J16" i="17"/>
  <c r="Q95" i="18"/>
  <c r="Q200" i="18"/>
  <c r="Q137" i="18"/>
  <c r="K153" i="19"/>
  <c r="K9" i="19"/>
  <c r="J158" i="19"/>
  <c r="J14" i="19"/>
  <c r="K161" i="17"/>
  <c r="K141" i="8"/>
  <c r="K17" i="8" s="1"/>
  <c r="K17" i="17"/>
  <c r="J7" i="8"/>
  <c r="L151" i="17"/>
  <c r="L131" i="8"/>
  <c r="L7" i="17"/>
  <c r="P157" i="19"/>
  <c r="P13" i="19"/>
  <c r="Q98" i="18"/>
  <c r="O160" i="19"/>
  <c r="O16" i="19"/>
  <c r="J153" i="19"/>
  <c r="J9" i="19"/>
  <c r="P144" i="8"/>
  <c r="P20" i="8" s="1"/>
  <c r="P20" i="16" s="1"/>
  <c r="P164" i="17"/>
  <c r="P20" i="17"/>
  <c r="Q212" i="18"/>
  <c r="Q149" i="18"/>
  <c r="P142" i="19"/>
  <c r="P142" i="17"/>
  <c r="M135" i="17"/>
  <c r="M135" i="19"/>
  <c r="K156" i="19"/>
  <c r="K12" i="19"/>
  <c r="M161" i="17"/>
  <c r="M141" i="8"/>
  <c r="M17" i="8" s="1"/>
  <c r="M17" i="16" s="1"/>
  <c r="M17" i="17"/>
  <c r="L160" i="19"/>
  <c r="L16" i="19"/>
  <c r="N158" i="19"/>
  <c r="N14" i="19"/>
  <c r="L164" i="19"/>
  <c r="L20" i="19"/>
  <c r="N160" i="17"/>
  <c r="N140" i="8"/>
  <c r="N16" i="8" s="1"/>
  <c r="N16" i="16" s="1"/>
  <c r="N16" i="17"/>
  <c r="O138" i="8"/>
  <c r="O14" i="8" s="1"/>
  <c r="O14" i="16" s="1"/>
  <c r="O158" i="17"/>
  <c r="O14" i="17"/>
  <c r="J7" i="3"/>
  <c r="L157" i="17"/>
  <c r="L137" i="8"/>
  <c r="L13" i="8" s="1"/>
  <c r="L13" i="16" s="1"/>
  <c r="L13" i="17"/>
  <c r="O141" i="8"/>
  <c r="O17" i="8" s="1"/>
  <c r="O17" i="16" s="1"/>
  <c r="O161" i="17"/>
  <c r="O17" i="17"/>
  <c r="Q129" i="18"/>
  <c r="M142" i="19"/>
  <c r="M142" i="17"/>
  <c r="O134" i="8"/>
  <c r="O10" i="8" s="1"/>
  <c r="O10" i="16" s="1"/>
  <c r="O154" i="17"/>
  <c r="O10" i="17"/>
  <c r="Q141" i="18"/>
  <c r="Q204" i="18"/>
  <c r="Q21" i="24"/>
  <c r="Q100" i="24" s="1"/>
  <c r="Q60" i="19"/>
  <c r="Q60" i="17"/>
  <c r="Q64" i="18"/>
  <c r="Q79" i="18"/>
  <c r="Q121" i="18" s="1"/>
  <c r="J142" i="19"/>
  <c r="J142" i="17"/>
  <c r="N142" i="17"/>
  <c r="N142" i="19"/>
  <c r="L163" i="19"/>
  <c r="L19" i="19"/>
  <c r="L135" i="17"/>
  <c r="L135" i="19"/>
  <c r="P135" i="17"/>
  <c r="P135" i="19"/>
  <c r="J134" i="8"/>
  <c r="J10" i="8" s="1"/>
  <c r="J10" i="16" s="1"/>
  <c r="J154" i="17"/>
  <c r="J10" i="17"/>
  <c r="N156" i="19"/>
  <c r="N12" i="19"/>
  <c r="P158" i="19"/>
  <c r="P14" i="19"/>
  <c r="M161" i="19"/>
  <c r="M17" i="19"/>
  <c r="O131" i="8"/>
  <c r="O151" i="17"/>
  <c r="O7" i="17"/>
  <c r="K164" i="19"/>
  <c r="K20" i="19"/>
  <c r="K157" i="19"/>
  <c r="K13" i="19"/>
  <c r="Q207" i="18"/>
  <c r="Q144" i="18"/>
  <c r="Q62" i="8"/>
  <c r="Q51" i="8"/>
  <c r="Q147" i="18"/>
  <c r="Q210" i="18"/>
  <c r="N154" i="19"/>
  <c r="N10" i="19"/>
  <c r="J161" i="19"/>
  <c r="J17" i="19"/>
  <c r="J28" i="19"/>
  <c r="K143" i="8"/>
  <c r="K19" i="8" s="1"/>
  <c r="K19" i="16" s="1"/>
  <c r="K163" i="17"/>
  <c r="K19" i="17"/>
  <c r="K19" i="3" s="1"/>
  <c r="L160" i="17"/>
  <c r="L140" i="8"/>
  <c r="L16" i="8" s="1"/>
  <c r="L16" i="16" s="1"/>
  <c r="L16" i="17"/>
  <c r="J156" i="17"/>
  <c r="J136" i="8"/>
  <c r="J12" i="8" s="1"/>
  <c r="J12" i="16" s="1"/>
  <c r="J12" i="17"/>
  <c r="P153" i="19"/>
  <c r="P9" i="19"/>
  <c r="N138" i="8"/>
  <c r="N14" i="8" s="1"/>
  <c r="N14" i="16" s="1"/>
  <c r="N158" i="17"/>
  <c r="N14" i="17"/>
  <c r="P161" i="17"/>
  <c r="P141" i="8"/>
  <c r="P17" i="8" s="1"/>
  <c r="P17" i="16" s="1"/>
  <c r="P17" i="17"/>
  <c r="M151" i="17"/>
  <c r="M131" i="8"/>
  <c r="M7" i="17"/>
  <c r="J144" i="8"/>
  <c r="J20" i="8" s="1"/>
  <c r="J20" i="16" s="1"/>
  <c r="J164" i="17"/>
  <c r="J20" i="17"/>
  <c r="Q104" i="18"/>
  <c r="K154" i="19"/>
  <c r="K10" i="19"/>
  <c r="O153" i="17"/>
  <c r="O133" i="8"/>
  <c r="O9" i="8" s="1"/>
  <c r="O9" i="16" s="1"/>
  <c r="O9" i="17"/>
  <c r="N151" i="19"/>
  <c r="N7" i="19"/>
  <c r="J157" i="17"/>
  <c r="J137" i="8"/>
  <c r="J13" i="8" s="1"/>
  <c r="J13" i="16" s="1"/>
  <c r="J13" i="17"/>
  <c r="J163" i="17"/>
  <c r="J143" i="8"/>
  <c r="J19" i="8" s="1"/>
  <c r="J19" i="16" s="1"/>
  <c r="J19" i="17"/>
  <c r="J19" i="3" s="1"/>
  <c r="L154" i="17"/>
  <c r="L134" i="8"/>
  <c r="L10" i="8" s="1"/>
  <c r="L10" i="16" s="1"/>
  <c r="L10" i="17"/>
  <c r="K7" i="8"/>
  <c r="J160" i="19"/>
  <c r="J16" i="19"/>
  <c r="N153" i="19"/>
  <c r="N9" i="19"/>
  <c r="O158" i="19"/>
  <c r="O14" i="19"/>
  <c r="N161" i="19"/>
  <c r="N17" i="19"/>
  <c r="J28" i="17"/>
  <c r="J151" i="8"/>
  <c r="L151" i="19"/>
  <c r="L7" i="19"/>
  <c r="P157" i="17"/>
  <c r="P137" i="8"/>
  <c r="P13" i="8" s="1"/>
  <c r="P13" i="16" s="1"/>
  <c r="P13" i="17"/>
  <c r="P13" i="3" s="1"/>
  <c r="O140" i="8"/>
  <c r="O16" i="8" s="1"/>
  <c r="O16" i="16" s="1"/>
  <c r="O160" i="17"/>
  <c r="O16" i="17"/>
  <c r="O16" i="3" s="1"/>
  <c r="J153" i="17"/>
  <c r="J133" i="8"/>
  <c r="J9" i="8" s="1"/>
  <c r="J9" i="16" s="1"/>
  <c r="J9" i="17"/>
  <c r="P164" i="19"/>
  <c r="P20" i="19"/>
  <c r="Q107" i="18"/>
  <c r="Q177" i="25"/>
  <c r="L187" i="25"/>
  <c r="N187" i="25"/>
  <c r="P158" i="25"/>
  <c r="M82" i="25"/>
  <c r="K82" i="25"/>
  <c r="O97" i="25"/>
  <c r="P143" i="25"/>
  <c r="L157" i="25"/>
  <c r="K142" i="25"/>
  <c r="P52" i="25"/>
  <c r="J112" i="25"/>
  <c r="M203" i="25"/>
  <c r="N97" i="25"/>
  <c r="J157" i="25"/>
  <c r="N37" i="25"/>
  <c r="P187" i="25"/>
  <c r="L113" i="25"/>
  <c r="K97" i="25"/>
  <c r="O82" i="25"/>
  <c r="O203" i="25"/>
  <c r="N7" i="25"/>
  <c r="L53" i="25"/>
  <c r="K38" i="25"/>
  <c r="P202" i="25"/>
  <c r="L143" i="25"/>
  <c r="O112" i="25"/>
  <c r="O52" i="25"/>
  <c r="P113" i="25"/>
  <c r="K203" i="25"/>
  <c r="J8" i="26"/>
  <c r="J82" i="25"/>
  <c r="M7" i="25"/>
  <c r="O37" i="25"/>
  <c r="J187" i="25"/>
  <c r="O113" i="25"/>
  <c r="L8" i="25"/>
  <c r="J37" i="25"/>
  <c r="L189" i="26"/>
  <c r="M144" i="26"/>
  <c r="O100" i="26"/>
  <c r="N54" i="26"/>
  <c r="N189" i="26"/>
  <c r="J85" i="26"/>
  <c r="J205" i="26"/>
  <c r="P10" i="26"/>
  <c r="K69" i="25"/>
  <c r="K84" i="26"/>
  <c r="O99" i="26"/>
  <c r="P145" i="26"/>
  <c r="L40" i="26"/>
  <c r="M99" i="26"/>
  <c r="M189" i="26"/>
  <c r="O190" i="26"/>
  <c r="J114" i="26"/>
  <c r="L174" i="25"/>
  <c r="J159" i="26"/>
  <c r="M10" i="26"/>
  <c r="N159" i="26"/>
  <c r="M204" i="26"/>
  <c r="N100" i="26"/>
  <c r="P190" i="26"/>
  <c r="K174" i="25"/>
  <c r="P189" i="26"/>
  <c r="J69" i="25"/>
  <c r="M39" i="26"/>
  <c r="K204" i="26"/>
  <c r="K99" i="26"/>
  <c r="O84" i="26"/>
  <c r="L39" i="26"/>
  <c r="L160" i="26"/>
  <c r="M100" i="26"/>
  <c r="K40" i="26"/>
  <c r="K159" i="26"/>
  <c r="O145" i="26"/>
  <c r="P174" i="25"/>
  <c r="N144" i="26"/>
  <c r="O114" i="26"/>
  <c r="L99" i="26"/>
  <c r="O159" i="26"/>
  <c r="M174" i="25"/>
  <c r="N175" i="25"/>
  <c r="L70" i="25"/>
  <c r="J54" i="26"/>
  <c r="P115" i="26"/>
  <c r="K205" i="26"/>
  <c r="N114" i="26"/>
  <c r="J189" i="26"/>
  <c r="J145" i="26"/>
  <c r="O115" i="26"/>
  <c r="P205" i="26"/>
  <c r="L10" i="26"/>
  <c r="M142" i="25"/>
  <c r="K8" i="26"/>
  <c r="J203" i="25"/>
  <c r="P8" i="25"/>
  <c r="M38" i="25"/>
  <c r="P82" i="25"/>
  <c r="O83" i="25"/>
  <c r="O202" i="25"/>
  <c r="M112" i="25"/>
  <c r="N143" i="25"/>
  <c r="K158" i="25"/>
  <c r="L98" i="25"/>
  <c r="O53" i="25"/>
  <c r="M53" i="25"/>
  <c r="M188" i="25"/>
  <c r="N157" i="25"/>
  <c r="J53" i="25"/>
  <c r="O8" i="25"/>
  <c r="P83" i="25"/>
  <c r="L37" i="25"/>
  <c r="M98" i="25"/>
  <c r="K7" i="26"/>
  <c r="J113" i="25"/>
  <c r="P98" i="25"/>
  <c r="N113" i="25"/>
  <c r="L97" i="25"/>
  <c r="L188" i="25"/>
  <c r="M158" i="25"/>
  <c r="K98" i="25"/>
  <c r="P38" i="25"/>
  <c r="N8" i="25"/>
  <c r="L52" i="25"/>
  <c r="N158" i="25"/>
  <c r="P203" i="25"/>
  <c r="O189" i="26"/>
  <c r="M84" i="26"/>
  <c r="K70" i="25"/>
  <c r="L114" i="26"/>
  <c r="N204" i="26"/>
  <c r="L159" i="26"/>
  <c r="O204" i="26"/>
  <c r="L204" i="26"/>
  <c r="N145" i="26"/>
  <c r="K39" i="26"/>
  <c r="P9" i="26"/>
  <c r="M205" i="26"/>
  <c r="O160" i="26"/>
  <c r="O55" i="26"/>
  <c r="M115" i="26"/>
  <c r="N39" i="26"/>
  <c r="K175" i="25"/>
  <c r="N69" i="25"/>
  <c r="O10" i="26"/>
  <c r="K54" i="26"/>
  <c r="J100" i="26"/>
  <c r="L55" i="26"/>
  <c r="L9" i="26"/>
  <c r="P100" i="26"/>
  <c r="P204" i="26"/>
  <c r="M69" i="25"/>
  <c r="M159" i="26"/>
  <c r="L145" i="26"/>
  <c r="J175" i="25"/>
  <c r="L190" i="26"/>
  <c r="P69" i="25"/>
  <c r="O9" i="26"/>
  <c r="N55" i="26"/>
  <c r="K189" i="26"/>
  <c r="P40" i="26"/>
  <c r="M9" i="26"/>
  <c r="K55" i="26"/>
  <c r="J99" i="26"/>
  <c r="J39" i="26"/>
  <c r="J83" i="25"/>
  <c r="M52" i="25"/>
  <c r="M187" i="25"/>
  <c r="K37" i="25"/>
  <c r="O158" i="25"/>
  <c r="M8" i="25"/>
  <c r="N98" i="25"/>
  <c r="M37" i="25"/>
  <c r="L158" i="25"/>
  <c r="J188" i="25"/>
  <c r="L7" i="25"/>
  <c r="J38" i="25"/>
  <c r="M157" i="25"/>
  <c r="N142" i="25"/>
  <c r="N83" i="25"/>
  <c r="J158" i="25"/>
  <c r="L142" i="25"/>
  <c r="P157" i="25"/>
  <c r="K53" i="25"/>
  <c r="J97" i="25"/>
  <c r="N38" i="25"/>
  <c r="O69" i="25"/>
  <c r="N190" i="26"/>
  <c r="K144" i="26"/>
  <c r="M85" i="26"/>
  <c r="L85" i="26"/>
  <c r="P114" i="26"/>
  <c r="M55" i="26"/>
  <c r="P55" i="26"/>
  <c r="O175" i="25"/>
  <c r="J55" i="26"/>
  <c r="L115" i="26"/>
  <c r="P85" i="26"/>
  <c r="O40" i="26"/>
  <c r="K85" i="26"/>
  <c r="N115" i="26"/>
  <c r="L69" i="25"/>
  <c r="J160" i="26"/>
  <c r="O144" i="26"/>
  <c r="O98" i="25"/>
  <c r="K143" i="25"/>
  <c r="L112" i="25"/>
  <c r="N188" i="25"/>
  <c r="L38" i="25"/>
  <c r="M97" i="25"/>
  <c r="L202" i="25"/>
  <c r="M83" i="25"/>
  <c r="P7" i="25"/>
  <c r="L83" i="25"/>
  <c r="P112" i="25"/>
  <c r="P37" i="25"/>
  <c r="M113" i="25"/>
  <c r="M202" i="25"/>
  <c r="P188" i="25"/>
  <c r="N82" i="25"/>
  <c r="K188" i="25"/>
  <c r="K113" i="25"/>
  <c r="K52" i="25"/>
  <c r="J98" i="25"/>
  <c r="K157" i="25"/>
  <c r="O143" i="25"/>
  <c r="K83" i="25"/>
  <c r="L203" i="25"/>
  <c r="O157" i="25"/>
  <c r="J52" i="25"/>
  <c r="O7" i="25"/>
  <c r="N53" i="25"/>
  <c r="K187" i="25"/>
  <c r="N112" i="25"/>
  <c r="J202" i="25"/>
  <c r="J143" i="25"/>
  <c r="J7" i="26"/>
  <c r="P97" i="25"/>
  <c r="P160" i="26"/>
  <c r="K145" i="26"/>
  <c r="O70" i="25"/>
  <c r="P84" i="26"/>
  <c r="M54" i="26"/>
  <c r="O85" i="26"/>
  <c r="P54" i="26"/>
  <c r="N205" i="26"/>
  <c r="P39" i="26"/>
  <c r="M145" i="26"/>
  <c r="O174" i="25"/>
  <c r="N70" i="25"/>
  <c r="N84" i="26"/>
  <c r="P144" i="26"/>
  <c r="K115" i="26"/>
  <c r="O205" i="26"/>
  <c r="N9" i="26"/>
  <c r="J144" i="26"/>
  <c r="J115" i="26"/>
  <c r="J40" i="26"/>
  <c r="M70" i="25"/>
  <c r="L205" i="26"/>
  <c r="O54" i="26"/>
  <c r="J174" i="25"/>
  <c r="P70" i="25"/>
  <c r="N85" i="26"/>
  <c r="M160" i="26"/>
  <c r="K100" i="26"/>
  <c r="J84" i="26"/>
  <c r="P159" i="26"/>
  <c r="J204" i="26"/>
  <c r="N10" i="26"/>
  <c r="N40" i="26"/>
  <c r="N160" i="26"/>
  <c r="P99" i="26"/>
  <c r="N52" i="25"/>
  <c r="O187" i="25"/>
  <c r="L82" i="25"/>
  <c r="N202" i="25"/>
  <c r="K112" i="25"/>
  <c r="O188" i="25"/>
  <c r="N203" i="25"/>
  <c r="P53" i="25"/>
  <c r="M143" i="25"/>
  <c r="K202" i="25"/>
  <c r="P142" i="25"/>
  <c r="O38" i="25"/>
  <c r="J142" i="25"/>
  <c r="O142" i="25"/>
  <c r="L84" i="26"/>
  <c r="M40" i="26"/>
  <c r="K114" i="26"/>
  <c r="M114" i="26"/>
  <c r="K160" i="26"/>
  <c r="L100" i="26"/>
  <c r="N99" i="26"/>
  <c r="L175" i="25"/>
  <c r="M190" i="26"/>
  <c r="J70" i="25"/>
  <c r="K190" i="26"/>
  <c r="J190" i="26"/>
  <c r="P175" i="25"/>
  <c r="N174" i="25"/>
  <c r="L144" i="26"/>
  <c r="O39" i="26"/>
  <c r="M175" i="25"/>
  <c r="L54" i="26"/>
  <c r="Q36" i="18" l="1"/>
  <c r="Q43" i="18"/>
  <c r="O17" i="3"/>
  <c r="P16" i="3"/>
  <c r="P36" i="3" s="1"/>
  <c r="P17" i="3"/>
  <c r="Q78" i="18"/>
  <c r="Q120" i="18" s="1"/>
  <c r="Q135" i="19" s="1"/>
  <c r="J9" i="3"/>
  <c r="J29" i="3" s="1"/>
  <c r="L16" i="3"/>
  <c r="J12" i="3"/>
  <c r="J32" i="3" s="1"/>
  <c r="Q85" i="18"/>
  <c r="Q127" i="18" s="1"/>
  <c r="J10" i="3"/>
  <c r="O10" i="3"/>
  <c r="O30" i="3" s="1"/>
  <c r="N16" i="3"/>
  <c r="N36" i="3" s="1"/>
  <c r="J20" i="3"/>
  <c r="J40" i="3" s="1"/>
  <c r="O36" i="3"/>
  <c r="Q138" i="17"/>
  <c r="Q14" i="17" s="1"/>
  <c r="L13" i="3"/>
  <c r="L33" i="3" s="1"/>
  <c r="M9" i="3"/>
  <c r="M29" i="3" s="1"/>
  <c r="P19" i="3"/>
  <c r="P39" i="3" s="1"/>
  <c r="M20" i="3"/>
  <c r="M40" i="3" s="1"/>
  <c r="O9" i="3"/>
  <c r="O29" i="3" s="1"/>
  <c r="M14" i="3"/>
  <c r="M34" i="3" s="1"/>
  <c r="M12" i="3"/>
  <c r="M32" i="3" s="1"/>
  <c r="J13" i="3"/>
  <c r="J33" i="3" s="1"/>
  <c r="Q141" i="19"/>
  <c r="Q17" i="19" s="1"/>
  <c r="Q106" i="18"/>
  <c r="Q143" i="17"/>
  <c r="Q19" i="17" s="1"/>
  <c r="P9" i="3"/>
  <c r="P29" i="3" s="1"/>
  <c r="K9" i="3"/>
  <c r="K29" i="3" s="1"/>
  <c r="Q140" i="19"/>
  <c r="Q160" i="19" s="1"/>
  <c r="L17" i="3"/>
  <c r="L37" i="3" s="1"/>
  <c r="M10" i="3"/>
  <c r="M30" i="3" s="1"/>
  <c r="Q134" i="19"/>
  <c r="Q10" i="19" s="1"/>
  <c r="L14" i="3"/>
  <c r="L34" i="3" s="1"/>
  <c r="L10" i="3"/>
  <c r="O149" i="25"/>
  <c r="J149" i="25"/>
  <c r="P149" i="25"/>
  <c r="K209" i="25"/>
  <c r="K119" i="25"/>
  <c r="N209" i="25"/>
  <c r="L89" i="25"/>
  <c r="O194" i="25"/>
  <c r="N59" i="25"/>
  <c r="P104" i="25"/>
  <c r="J14" i="26"/>
  <c r="J209" i="25"/>
  <c r="N119" i="25"/>
  <c r="K194" i="25"/>
  <c r="O14" i="25"/>
  <c r="J59" i="25"/>
  <c r="O164" i="25"/>
  <c r="K164" i="25"/>
  <c r="K59" i="25"/>
  <c r="N89" i="25"/>
  <c r="M209" i="25"/>
  <c r="P44" i="25"/>
  <c r="P119" i="25"/>
  <c r="P14" i="25"/>
  <c r="L209" i="25"/>
  <c r="M104" i="25"/>
  <c r="L119" i="25"/>
  <c r="J104" i="25"/>
  <c r="P164" i="25"/>
  <c r="L149" i="25"/>
  <c r="N149" i="25"/>
  <c r="M164" i="25"/>
  <c r="L14" i="25"/>
  <c r="M44" i="25"/>
  <c r="K44" i="25"/>
  <c r="M194" i="25"/>
  <c r="M59" i="25"/>
  <c r="L59" i="25"/>
  <c r="L104" i="25"/>
  <c r="K14" i="26"/>
  <c r="L44" i="25"/>
  <c r="N164" i="25"/>
  <c r="M119" i="25"/>
  <c r="O209" i="25"/>
  <c r="P89" i="25"/>
  <c r="M149" i="25"/>
  <c r="J44" i="25"/>
  <c r="J194" i="25"/>
  <c r="O44" i="25"/>
  <c r="M14" i="25"/>
  <c r="J89" i="25"/>
  <c r="O59" i="25"/>
  <c r="O119" i="25"/>
  <c r="P209" i="25"/>
  <c r="N14" i="25"/>
  <c r="O89" i="25"/>
  <c r="K104" i="25"/>
  <c r="P194" i="25"/>
  <c r="N44" i="25"/>
  <c r="J164" i="25"/>
  <c r="N104" i="25"/>
  <c r="J119" i="25"/>
  <c r="P59" i="25"/>
  <c r="K149" i="25"/>
  <c r="L164" i="25"/>
  <c r="O104" i="25"/>
  <c r="K89" i="25"/>
  <c r="M89" i="25"/>
  <c r="N194" i="25"/>
  <c r="L194" i="25"/>
  <c r="L154" i="8"/>
  <c r="L31" i="8" s="1"/>
  <c r="L31" i="17"/>
  <c r="M162" i="19"/>
  <c r="M18" i="19"/>
  <c r="O153" i="8"/>
  <c r="O30" i="8" s="1"/>
  <c r="O30" i="17"/>
  <c r="L160" i="8"/>
  <c r="L37" i="8" s="1"/>
  <c r="L37" i="17"/>
  <c r="N142" i="8"/>
  <c r="N18" i="8" s="1"/>
  <c r="N18" i="16" s="1"/>
  <c r="N162" i="17"/>
  <c r="N18" i="17"/>
  <c r="Q141" i="17"/>
  <c r="P162" i="19"/>
  <c r="P18" i="19"/>
  <c r="J40" i="19"/>
  <c r="L9" i="16"/>
  <c r="L29" i="3"/>
  <c r="K40" i="19"/>
  <c r="J155" i="19"/>
  <c r="J11" i="19"/>
  <c r="Q137" i="17"/>
  <c r="Q137" i="19"/>
  <c r="N9" i="3"/>
  <c r="N29" i="3" s="1"/>
  <c r="M40" i="19"/>
  <c r="L162" i="19"/>
  <c r="L18" i="19"/>
  <c r="N157" i="8"/>
  <c r="N34" i="8" s="1"/>
  <c r="N34" i="17"/>
  <c r="L34" i="19"/>
  <c r="K38" i="19"/>
  <c r="M158" i="8"/>
  <c r="M35" i="8" s="1"/>
  <c r="M35" i="17"/>
  <c r="K158" i="8"/>
  <c r="K35" i="8" s="1"/>
  <c r="K35" i="17"/>
  <c r="M30" i="19"/>
  <c r="L156" i="8"/>
  <c r="L33" i="8" s="1"/>
  <c r="L33" i="17"/>
  <c r="P157" i="8"/>
  <c r="P34" i="8" s="1"/>
  <c r="P34" i="17"/>
  <c r="N38" i="19"/>
  <c r="N30" i="19"/>
  <c r="J39" i="3"/>
  <c r="N28" i="19"/>
  <c r="J164" i="8"/>
  <c r="J41" i="8" s="1"/>
  <c r="J41" i="17"/>
  <c r="M7" i="8"/>
  <c r="P161" i="8"/>
  <c r="P38" i="8" s="1"/>
  <c r="P38" i="17"/>
  <c r="J33" i="17"/>
  <c r="J156" i="8"/>
  <c r="J33" i="8" s="1"/>
  <c r="K39" i="3"/>
  <c r="K34" i="19"/>
  <c r="M38" i="19"/>
  <c r="N33" i="19"/>
  <c r="P155" i="19"/>
  <c r="P11" i="19"/>
  <c r="J162" i="17"/>
  <c r="J142" i="8"/>
  <c r="J18" i="8" s="1"/>
  <c r="J18" i="16" s="1"/>
  <c r="J18" i="17"/>
  <c r="Q211" i="18"/>
  <c r="Q148" i="18"/>
  <c r="O154" i="8"/>
  <c r="O31" i="8" s="1"/>
  <c r="O31" i="17"/>
  <c r="Q144" i="17"/>
  <c r="Q144" i="19"/>
  <c r="L41" i="19"/>
  <c r="M155" i="19"/>
  <c r="M11" i="19"/>
  <c r="Q140" i="17"/>
  <c r="P20" i="3"/>
  <c r="P40" i="3" s="1"/>
  <c r="J30" i="19"/>
  <c r="L7" i="8"/>
  <c r="J35" i="19"/>
  <c r="J160" i="8"/>
  <c r="J37" i="8" s="1"/>
  <c r="J37" i="17"/>
  <c r="N151" i="8"/>
  <c r="N28" i="17"/>
  <c r="K10" i="3"/>
  <c r="K30" i="3" s="1"/>
  <c r="O41" i="19"/>
  <c r="K35" i="19"/>
  <c r="O12" i="3"/>
  <c r="O32" i="3" s="1"/>
  <c r="P160" i="8"/>
  <c r="P37" i="8" s="1"/>
  <c r="P37" i="17"/>
  <c r="K20" i="3"/>
  <c r="K40" i="3" s="1"/>
  <c r="N33" i="17"/>
  <c r="N156" i="8"/>
  <c r="N33" i="8" s="1"/>
  <c r="N155" i="19"/>
  <c r="N11" i="19"/>
  <c r="O162" i="17"/>
  <c r="O142" i="8"/>
  <c r="O18" i="8" s="1"/>
  <c r="O18" i="16" s="1"/>
  <c r="O18" i="17"/>
  <c r="Q143" i="19"/>
  <c r="M37" i="19"/>
  <c r="Q134" i="17"/>
  <c r="N17" i="3"/>
  <c r="N37" i="3" s="1"/>
  <c r="P153" i="8"/>
  <c r="P30" i="8" s="1"/>
  <c r="P30" i="17"/>
  <c r="J17" i="3"/>
  <c r="J37" i="3" s="1"/>
  <c r="N41" i="19"/>
  <c r="Q138" i="19"/>
  <c r="P7" i="8"/>
  <c r="J14" i="3"/>
  <c r="J34" i="3" s="1"/>
  <c r="P154" i="8"/>
  <c r="P31" i="8" s="1"/>
  <c r="P31" i="17"/>
  <c r="M19" i="3"/>
  <c r="M39" i="3" s="1"/>
  <c r="O20" i="3"/>
  <c r="O40" i="3" s="1"/>
  <c r="L17" i="16"/>
  <c r="O33" i="19"/>
  <c r="M31" i="17"/>
  <c r="M154" i="8"/>
  <c r="M31" i="8" s="1"/>
  <c r="P156" i="8"/>
  <c r="P33" i="8" s="1"/>
  <c r="P33" i="17"/>
  <c r="N20" i="3"/>
  <c r="N40" i="3" s="1"/>
  <c r="K12" i="3"/>
  <c r="K32" i="3" s="1"/>
  <c r="O155" i="19"/>
  <c r="O11" i="19"/>
  <c r="Q116" i="18"/>
  <c r="O19" i="3"/>
  <c r="O39" i="3" s="1"/>
  <c r="K37" i="19"/>
  <c r="P38" i="19"/>
  <c r="N10" i="3"/>
  <c r="N30" i="3" s="1"/>
  <c r="L19" i="3"/>
  <c r="L39" i="3" s="1"/>
  <c r="O160" i="8"/>
  <c r="O37" i="8" s="1"/>
  <c r="O37" i="17"/>
  <c r="J38" i="19"/>
  <c r="O7" i="3"/>
  <c r="L135" i="8"/>
  <c r="L11" i="8" s="1"/>
  <c r="L11" i="16" s="1"/>
  <c r="L155" i="17"/>
  <c r="L11" i="17"/>
  <c r="N35" i="19"/>
  <c r="M17" i="3"/>
  <c r="M37" i="3" s="1"/>
  <c r="K33" i="19"/>
  <c r="K28" i="8"/>
  <c r="O30" i="19"/>
  <c r="P33" i="19"/>
  <c r="L35" i="19"/>
  <c r="N12" i="3"/>
  <c r="N32" i="3" s="1"/>
  <c r="J31" i="19"/>
  <c r="O162" i="19"/>
  <c r="O18" i="19"/>
  <c r="P31" i="19"/>
  <c r="M31" i="19"/>
  <c r="P158" i="8"/>
  <c r="P35" i="8" s="1"/>
  <c r="P35" i="17"/>
  <c r="L33" i="19"/>
  <c r="M33" i="19"/>
  <c r="L20" i="3"/>
  <c r="L40" i="3" s="1"/>
  <c r="K37" i="17"/>
  <c r="K160" i="8"/>
  <c r="K37" i="8" s="1"/>
  <c r="N40" i="19"/>
  <c r="O135" i="8"/>
  <c r="O11" i="8" s="1"/>
  <c r="O11" i="16" s="1"/>
  <c r="O155" i="17"/>
  <c r="O11" i="17"/>
  <c r="J153" i="8"/>
  <c r="J30" i="8" s="1"/>
  <c r="J30" i="17"/>
  <c r="J28" i="8"/>
  <c r="L30" i="3"/>
  <c r="J34" i="17"/>
  <c r="J157" i="8"/>
  <c r="J34" i="8" s="1"/>
  <c r="K31" i="19"/>
  <c r="M28" i="17"/>
  <c r="M151" i="8"/>
  <c r="N14" i="3"/>
  <c r="N34" i="3" s="1"/>
  <c r="P30" i="19"/>
  <c r="L36" i="3"/>
  <c r="K163" i="8"/>
  <c r="K40" i="8" s="1"/>
  <c r="K40" i="17"/>
  <c r="N31" i="19"/>
  <c r="O151" i="8"/>
  <c r="O28" i="17"/>
  <c r="J30" i="3"/>
  <c r="P155" i="17"/>
  <c r="P135" i="8"/>
  <c r="P11" i="8" s="1"/>
  <c r="P11" i="16" s="1"/>
  <c r="P11" i="17"/>
  <c r="L40" i="19"/>
  <c r="J162" i="19"/>
  <c r="J18" i="19"/>
  <c r="O37" i="3"/>
  <c r="O14" i="3"/>
  <c r="O34" i="3" s="1"/>
  <c r="L37" i="19"/>
  <c r="M161" i="8"/>
  <c r="M38" i="8" s="1"/>
  <c r="M38" i="17"/>
  <c r="M155" i="17"/>
  <c r="M135" i="8"/>
  <c r="M11" i="8" s="1"/>
  <c r="M11" i="16" s="1"/>
  <c r="M11" i="17"/>
  <c r="P164" i="8"/>
  <c r="P41" i="8" s="1"/>
  <c r="P41" i="17"/>
  <c r="P34" i="19"/>
  <c r="L28" i="17"/>
  <c r="L151" i="8"/>
  <c r="K17" i="16"/>
  <c r="L31" i="19"/>
  <c r="J34" i="19"/>
  <c r="N7" i="8"/>
  <c r="K31" i="17"/>
  <c r="K154" i="8"/>
  <c r="K31" i="8" s="1"/>
  <c r="K13" i="3"/>
  <c r="K33" i="3" s="1"/>
  <c r="K20" i="16"/>
  <c r="O28" i="19"/>
  <c r="M9" i="16"/>
  <c r="N155" i="17"/>
  <c r="N135" i="8"/>
  <c r="N11" i="8" s="1"/>
  <c r="N11" i="16" s="1"/>
  <c r="N11" i="17"/>
  <c r="K162" i="19"/>
  <c r="K18" i="19"/>
  <c r="N30" i="17"/>
  <c r="N153" i="8"/>
  <c r="N30" i="8" s="1"/>
  <c r="M35" i="19"/>
  <c r="J17" i="16"/>
  <c r="P14" i="3"/>
  <c r="P34" i="3" s="1"/>
  <c r="O31" i="19"/>
  <c r="N13" i="3"/>
  <c r="N33" i="3" s="1"/>
  <c r="O38" i="19"/>
  <c r="M41" i="19"/>
  <c r="P151" i="8"/>
  <c r="P28" i="17"/>
  <c r="J14" i="16"/>
  <c r="K153" i="8"/>
  <c r="K30" i="8" s="1"/>
  <c r="K30" i="17"/>
  <c r="N37" i="19"/>
  <c r="L164" i="8"/>
  <c r="L41" i="8" s="1"/>
  <c r="L41" i="17"/>
  <c r="K16" i="3"/>
  <c r="K36" i="3" s="1"/>
  <c r="M13" i="3"/>
  <c r="M33" i="3" s="1"/>
  <c r="O164" i="8"/>
  <c r="O41" i="8" s="1"/>
  <c r="O41" i="17"/>
  <c r="L38" i="17"/>
  <c r="L161" i="8"/>
  <c r="L38" i="8" s="1"/>
  <c r="O33" i="3"/>
  <c r="N41" i="17"/>
  <c r="N164" i="8"/>
  <c r="N41" i="8" s="1"/>
  <c r="L158" i="8"/>
  <c r="L35" i="8" s="1"/>
  <c r="L35" i="17"/>
  <c r="K12" i="16"/>
  <c r="K155" i="19"/>
  <c r="K11" i="19"/>
  <c r="L12" i="3"/>
  <c r="L32" i="3" s="1"/>
  <c r="M33" i="17"/>
  <c r="M156" i="8"/>
  <c r="M33" i="8" s="1"/>
  <c r="O163" i="8"/>
  <c r="O40" i="8" s="1"/>
  <c r="O40" i="17"/>
  <c r="N19" i="3"/>
  <c r="N39" i="3" s="1"/>
  <c r="M16" i="3"/>
  <c r="M36" i="3" s="1"/>
  <c r="Q135" i="17"/>
  <c r="L28" i="19"/>
  <c r="K27" i="3"/>
  <c r="K7" i="16"/>
  <c r="P41" i="19"/>
  <c r="P33" i="3"/>
  <c r="J95" i="3"/>
  <c r="O35" i="19"/>
  <c r="J37" i="19"/>
  <c r="J40" i="17"/>
  <c r="J107" i="3" s="1"/>
  <c r="J163" i="8"/>
  <c r="J40" i="8" s="1"/>
  <c r="M7" i="3"/>
  <c r="P37" i="3"/>
  <c r="N158" i="8"/>
  <c r="N35" i="8" s="1"/>
  <c r="N35" i="17"/>
  <c r="K41" i="19"/>
  <c r="O7" i="8"/>
  <c r="P35" i="19"/>
  <c r="J31" i="17"/>
  <c r="J154" i="8"/>
  <c r="J31" i="8" s="1"/>
  <c r="L155" i="19"/>
  <c r="L11" i="19"/>
  <c r="N162" i="19"/>
  <c r="N18" i="19"/>
  <c r="Q136" i="17"/>
  <c r="Q136" i="19"/>
  <c r="Q60" i="8"/>
  <c r="M142" i="8"/>
  <c r="M18" i="8" s="1"/>
  <c r="M18" i="16" s="1"/>
  <c r="M162" i="17"/>
  <c r="M18" i="17"/>
  <c r="O161" i="8"/>
  <c r="O38" i="8" s="1"/>
  <c r="O38" i="17"/>
  <c r="L34" i="17"/>
  <c r="L157" i="8"/>
  <c r="L34" i="8" s="1"/>
  <c r="O158" i="8"/>
  <c r="O35" i="8" s="1"/>
  <c r="O35" i="17"/>
  <c r="N37" i="17"/>
  <c r="N104" i="3" s="1"/>
  <c r="N160" i="8"/>
  <c r="N37" i="8" s="1"/>
  <c r="P162" i="17"/>
  <c r="P142" i="8"/>
  <c r="P18" i="8" s="1"/>
  <c r="P18" i="16" s="1"/>
  <c r="P18" i="17"/>
  <c r="O37" i="19"/>
  <c r="L7" i="3"/>
  <c r="J27" i="3"/>
  <c r="J7" i="16"/>
  <c r="K161" i="8"/>
  <c r="K38" i="8" s="1"/>
  <c r="K38" i="17"/>
  <c r="K30" i="19"/>
  <c r="J16" i="3"/>
  <c r="J36" i="3" s="1"/>
  <c r="K95" i="3"/>
  <c r="N7" i="3"/>
  <c r="M34" i="19"/>
  <c r="L38" i="19"/>
  <c r="L153" i="8"/>
  <c r="L30" i="8" s="1"/>
  <c r="L30" i="17"/>
  <c r="O156" i="8"/>
  <c r="O33" i="8" s="1"/>
  <c r="O33" i="17"/>
  <c r="K34" i="17"/>
  <c r="K157" i="8"/>
  <c r="K34" i="8" s="1"/>
  <c r="K41" i="17"/>
  <c r="K164" i="8"/>
  <c r="K41" i="8" s="1"/>
  <c r="M30" i="17"/>
  <c r="M153" i="8"/>
  <c r="M30" i="8" s="1"/>
  <c r="J135" i="8"/>
  <c r="J11" i="8" s="1"/>
  <c r="J11" i="16" s="1"/>
  <c r="J155" i="17"/>
  <c r="J11" i="17"/>
  <c r="P163" i="8"/>
  <c r="P40" i="8" s="1"/>
  <c r="P40" i="17"/>
  <c r="K162" i="17"/>
  <c r="K142" i="8"/>
  <c r="K18" i="8" s="1"/>
  <c r="K18" i="16" s="1"/>
  <c r="K18" i="17"/>
  <c r="Q133" i="19"/>
  <c r="Q133" i="17"/>
  <c r="P40" i="19"/>
  <c r="N34" i="19"/>
  <c r="M41" i="17"/>
  <c r="M164" i="8"/>
  <c r="M41" i="8" s="1"/>
  <c r="N38" i="17"/>
  <c r="N161" i="8"/>
  <c r="N38" i="8" s="1"/>
  <c r="M28" i="19"/>
  <c r="J161" i="8"/>
  <c r="J38" i="8" s="1"/>
  <c r="J38" i="17"/>
  <c r="P14" i="16"/>
  <c r="L162" i="17"/>
  <c r="L142" i="8"/>
  <c r="L18" i="8" s="1"/>
  <c r="L18" i="16" s="1"/>
  <c r="L18" i="17"/>
  <c r="N13" i="16"/>
  <c r="P7" i="3"/>
  <c r="K17" i="3"/>
  <c r="K37" i="3" s="1"/>
  <c r="J35" i="17"/>
  <c r="J158" i="8"/>
  <c r="J35" i="8" s="1"/>
  <c r="P10" i="3"/>
  <c r="P30" i="3" s="1"/>
  <c r="O40" i="19"/>
  <c r="M163" i="8"/>
  <c r="M40" i="8" s="1"/>
  <c r="M40" i="17"/>
  <c r="M157" i="8"/>
  <c r="M34" i="8" s="1"/>
  <c r="M34" i="17"/>
  <c r="K14" i="3"/>
  <c r="K34" i="3" s="1"/>
  <c r="L30" i="19"/>
  <c r="P37" i="19"/>
  <c r="P12" i="3"/>
  <c r="P32" i="3" s="1"/>
  <c r="O157" i="8"/>
  <c r="O34" i="8" s="1"/>
  <c r="O34" i="17"/>
  <c r="K156" i="8"/>
  <c r="K33" i="8" s="1"/>
  <c r="K33" i="17"/>
  <c r="K135" i="8"/>
  <c r="K11" i="8" s="1"/>
  <c r="K11" i="16" s="1"/>
  <c r="K155" i="17"/>
  <c r="K11" i="17"/>
  <c r="P28" i="19"/>
  <c r="J41" i="19"/>
  <c r="J33" i="19"/>
  <c r="N163" i="8"/>
  <c r="N40" i="8" s="1"/>
  <c r="N40" i="17"/>
  <c r="N154" i="8"/>
  <c r="N31" i="8" s="1"/>
  <c r="N31" i="17"/>
  <c r="O34" i="19"/>
  <c r="M37" i="17"/>
  <c r="M160" i="8"/>
  <c r="M37" i="8" s="1"/>
  <c r="L40" i="17"/>
  <c r="L163" i="8"/>
  <c r="L40" i="8" s="1"/>
  <c r="Q114" i="25"/>
  <c r="Q145" i="25"/>
  <c r="Q189" i="25"/>
  <c r="Q160" i="25"/>
  <c r="Q55" i="25"/>
  <c r="Q53" i="25"/>
  <c r="L142" i="26"/>
  <c r="K188" i="26"/>
  <c r="N97" i="26"/>
  <c r="K112" i="26"/>
  <c r="P97" i="26"/>
  <c r="K98" i="26"/>
  <c r="J172" i="25"/>
  <c r="J38" i="26"/>
  <c r="N82" i="26"/>
  <c r="P37" i="26"/>
  <c r="M52" i="26"/>
  <c r="P158" i="26"/>
  <c r="L67" i="25"/>
  <c r="P83" i="26"/>
  <c r="P53" i="26"/>
  <c r="M83" i="26"/>
  <c r="J37" i="26"/>
  <c r="O7" i="26"/>
  <c r="J173" i="25"/>
  <c r="P202" i="26"/>
  <c r="L53" i="26"/>
  <c r="M113" i="26"/>
  <c r="P7" i="26"/>
  <c r="L202" i="26"/>
  <c r="L112" i="26"/>
  <c r="P203" i="26"/>
  <c r="N112" i="26"/>
  <c r="L68" i="25"/>
  <c r="L97" i="26"/>
  <c r="O143" i="26"/>
  <c r="L158" i="26"/>
  <c r="K202" i="26"/>
  <c r="K172" i="25"/>
  <c r="N157" i="26"/>
  <c r="L172" i="25"/>
  <c r="M97" i="26"/>
  <c r="K82" i="26"/>
  <c r="J203" i="26"/>
  <c r="O98" i="26"/>
  <c r="N174" i="26"/>
  <c r="Q100" i="25"/>
  <c r="Q204" i="25"/>
  <c r="Q54" i="25"/>
  <c r="O69" i="26"/>
  <c r="K175" i="26"/>
  <c r="K70" i="26"/>
  <c r="L70" i="26"/>
  <c r="Q84" i="25"/>
  <c r="Q40" i="25"/>
  <c r="Q158" i="25"/>
  <c r="L52" i="26"/>
  <c r="N172" i="25"/>
  <c r="J68" i="25"/>
  <c r="L98" i="26"/>
  <c r="M38" i="26"/>
  <c r="N158" i="26"/>
  <c r="J202" i="26"/>
  <c r="M158" i="26"/>
  <c r="O52" i="26"/>
  <c r="J113" i="26"/>
  <c r="O203" i="26"/>
  <c r="N68" i="25"/>
  <c r="N203" i="26"/>
  <c r="P82" i="26"/>
  <c r="N113" i="26"/>
  <c r="L113" i="26"/>
  <c r="M53" i="26"/>
  <c r="K142" i="26"/>
  <c r="J97" i="26"/>
  <c r="P38" i="26"/>
  <c r="L143" i="26"/>
  <c r="P98" i="26"/>
  <c r="J98" i="26"/>
  <c r="N67" i="25"/>
  <c r="O53" i="26"/>
  <c r="O202" i="26"/>
  <c r="K68" i="25"/>
  <c r="O113" i="26"/>
  <c r="K203" i="26"/>
  <c r="N173" i="25"/>
  <c r="O112" i="26"/>
  <c r="K157" i="26"/>
  <c r="L37" i="26"/>
  <c r="M37" i="26"/>
  <c r="P188" i="26"/>
  <c r="M8" i="26"/>
  <c r="J112" i="26"/>
  <c r="L38" i="26"/>
  <c r="K67" i="25"/>
  <c r="J83" i="26"/>
  <c r="M142" i="26"/>
  <c r="Q145" i="26"/>
  <c r="M175" i="26"/>
  <c r="J70" i="26"/>
  <c r="J174" i="26"/>
  <c r="Q205" i="25"/>
  <c r="Q144" i="25"/>
  <c r="N70" i="26"/>
  <c r="M69" i="26"/>
  <c r="N69" i="26"/>
  <c r="Q70" i="25"/>
  <c r="Q85" i="25"/>
  <c r="M174" i="26"/>
  <c r="J69" i="26"/>
  <c r="K174" i="26"/>
  <c r="Q39" i="25"/>
  <c r="Q112" i="25"/>
  <c r="M173" i="25"/>
  <c r="P173" i="25"/>
  <c r="M188" i="26"/>
  <c r="K158" i="26"/>
  <c r="L82" i="26"/>
  <c r="N38" i="26"/>
  <c r="P157" i="26"/>
  <c r="N83" i="26"/>
  <c r="L203" i="26"/>
  <c r="J142" i="26"/>
  <c r="K113" i="26"/>
  <c r="O172" i="25"/>
  <c r="P52" i="26"/>
  <c r="O68" i="25"/>
  <c r="O142" i="26"/>
  <c r="K83" i="26"/>
  <c r="J53" i="26"/>
  <c r="P112" i="26"/>
  <c r="N188" i="26"/>
  <c r="K53" i="26"/>
  <c r="K187" i="26"/>
  <c r="P67" i="25"/>
  <c r="M157" i="26"/>
  <c r="L7" i="26"/>
  <c r="K52" i="26"/>
  <c r="K173" i="25"/>
  <c r="O158" i="26"/>
  <c r="K37" i="26"/>
  <c r="L157" i="26"/>
  <c r="M82" i="26"/>
  <c r="L8" i="26"/>
  <c r="J143" i="26"/>
  <c r="P113" i="26"/>
  <c r="M172" i="25"/>
  <c r="N142" i="26"/>
  <c r="K38" i="26"/>
  <c r="O82" i="26"/>
  <c r="J67" i="25"/>
  <c r="N98" i="26"/>
  <c r="O188" i="26"/>
  <c r="P143" i="26"/>
  <c r="P8" i="26"/>
  <c r="N187" i="26"/>
  <c r="L187" i="26"/>
  <c r="Q159" i="25"/>
  <c r="Q190" i="25"/>
  <c r="Q115" i="25"/>
  <c r="L69" i="26"/>
  <c r="P69" i="26"/>
  <c r="J175" i="26"/>
  <c r="Q69" i="25"/>
  <c r="N175" i="26"/>
  <c r="L174" i="26"/>
  <c r="Q187" i="25"/>
  <c r="O37" i="26"/>
  <c r="J188" i="26"/>
  <c r="L173" i="25"/>
  <c r="M112" i="26"/>
  <c r="N8" i="26"/>
  <c r="J82" i="26"/>
  <c r="P68" i="25"/>
  <c r="M68" i="25"/>
  <c r="N7" i="26"/>
  <c r="P142" i="26"/>
  <c r="M143" i="26"/>
  <c r="O83" i="26"/>
  <c r="K143" i="26"/>
  <c r="J158" i="26"/>
  <c r="O38" i="26"/>
  <c r="O173" i="25"/>
  <c r="L83" i="26"/>
  <c r="O67" i="25"/>
  <c r="M7" i="26"/>
  <c r="N53" i="26"/>
  <c r="L188" i="26"/>
  <c r="M67" i="25"/>
  <c r="O8" i="26"/>
  <c r="N37" i="26"/>
  <c r="M203" i="26"/>
  <c r="N143" i="26"/>
  <c r="N202" i="26"/>
  <c r="O187" i="26"/>
  <c r="J187" i="26"/>
  <c r="J52" i="26"/>
  <c r="O157" i="26"/>
  <c r="P172" i="25"/>
  <c r="M98" i="26"/>
  <c r="K97" i="26"/>
  <c r="P187" i="26"/>
  <c r="M202" i="26"/>
  <c r="J157" i="26"/>
  <c r="M187" i="26"/>
  <c r="O97" i="26"/>
  <c r="N52" i="26"/>
  <c r="P175" i="26"/>
  <c r="Q99" i="25"/>
  <c r="L175" i="26"/>
  <c r="P70" i="26"/>
  <c r="M70" i="26"/>
  <c r="O174" i="26"/>
  <c r="O70" i="26"/>
  <c r="O175" i="26"/>
  <c r="P174" i="26"/>
  <c r="K69" i="26"/>
  <c r="L101" i="3" l="1"/>
  <c r="M105" i="3"/>
  <c r="K104" i="3"/>
  <c r="K11" i="3"/>
  <c r="Q154" i="19"/>
  <c r="L108" i="3"/>
  <c r="O100" i="3"/>
  <c r="N98" i="3"/>
  <c r="N118" i="3" s="1"/>
  <c r="M107" i="3"/>
  <c r="M127" i="3" s="1"/>
  <c r="M108" i="3"/>
  <c r="M128" i="3" s="1"/>
  <c r="P11" i="3"/>
  <c r="P31" i="3" s="1"/>
  <c r="N105" i="3"/>
  <c r="N125" i="3" s="1"/>
  <c r="J11" i="3"/>
  <c r="J31" i="3" s="1"/>
  <c r="K101" i="3"/>
  <c r="K121" i="3" s="1"/>
  <c r="M18" i="3"/>
  <c r="M38" i="3" s="1"/>
  <c r="N11" i="3"/>
  <c r="N31" i="3" s="1"/>
  <c r="M11" i="3"/>
  <c r="M31" i="3" s="1"/>
  <c r="N108" i="3"/>
  <c r="N128" i="3" s="1"/>
  <c r="O108" i="3"/>
  <c r="O128" i="3" s="1"/>
  <c r="N107" i="3"/>
  <c r="N127" i="3" s="1"/>
  <c r="M97" i="3"/>
  <c r="M117" i="3" s="1"/>
  <c r="K105" i="3"/>
  <c r="K125" i="3" s="1"/>
  <c r="K98" i="3"/>
  <c r="K107" i="3"/>
  <c r="K127" i="3" s="1"/>
  <c r="Q142" i="17"/>
  <c r="L18" i="3"/>
  <c r="L38" i="3" s="1"/>
  <c r="P18" i="3"/>
  <c r="P38" i="3" s="1"/>
  <c r="J102" i="3"/>
  <c r="J122" i="3" s="1"/>
  <c r="N97" i="3"/>
  <c r="N117" i="3" s="1"/>
  <c r="Q158" i="17"/>
  <c r="Q35" i="17" s="1"/>
  <c r="M104" i="3"/>
  <c r="M124" i="3" s="1"/>
  <c r="K100" i="3"/>
  <c r="K120" i="3" s="1"/>
  <c r="M101" i="3"/>
  <c r="M121" i="3" s="1"/>
  <c r="J105" i="3"/>
  <c r="J125" i="3" s="1"/>
  <c r="L107" i="3"/>
  <c r="L127" i="3" s="1"/>
  <c r="K18" i="3"/>
  <c r="K38" i="3" s="1"/>
  <c r="Q16" i="19"/>
  <c r="Q163" i="17"/>
  <c r="Q40" i="17" s="1"/>
  <c r="Q142" i="19"/>
  <c r="Q162" i="19" s="1"/>
  <c r="J98" i="3"/>
  <c r="J118" i="3" s="1"/>
  <c r="N100" i="3"/>
  <c r="N120" i="3" s="1"/>
  <c r="N102" i="3"/>
  <c r="O102" i="3"/>
  <c r="O122" i="3" s="1"/>
  <c r="Q161" i="19"/>
  <c r="Q38" i="19" s="1"/>
  <c r="L102" i="3"/>
  <c r="L122" i="3" s="1"/>
  <c r="M125" i="3"/>
  <c r="J97" i="3"/>
  <c r="J117" i="3" s="1"/>
  <c r="O11" i="3"/>
  <c r="O31" i="3" s="1"/>
  <c r="K108" i="3"/>
  <c r="K128" i="3" s="1"/>
  <c r="O105" i="3"/>
  <c r="O125" i="3" s="1"/>
  <c r="J127" i="3"/>
  <c r="M100" i="3"/>
  <c r="M120" i="3" s="1"/>
  <c r="N59" i="26"/>
  <c r="O104" i="26"/>
  <c r="M194" i="26"/>
  <c r="J164" i="26"/>
  <c r="M209" i="26"/>
  <c r="P194" i="26"/>
  <c r="K104" i="26"/>
  <c r="P179" i="25"/>
  <c r="O164" i="26"/>
  <c r="J59" i="26"/>
  <c r="J194" i="26"/>
  <c r="O194" i="26"/>
  <c r="N209" i="26"/>
  <c r="N44" i="26"/>
  <c r="M74" i="25"/>
  <c r="M14" i="26"/>
  <c r="O74" i="25"/>
  <c r="P149" i="26"/>
  <c r="N14" i="26"/>
  <c r="J89" i="26"/>
  <c r="M119" i="26"/>
  <c r="O44" i="26"/>
  <c r="L194" i="26"/>
  <c r="N194" i="26"/>
  <c r="J74" i="25"/>
  <c r="O89" i="26"/>
  <c r="N149" i="26"/>
  <c r="M179" i="25"/>
  <c r="M89" i="26"/>
  <c r="L164" i="26"/>
  <c r="K44" i="26"/>
  <c r="K59" i="26"/>
  <c r="L14" i="26"/>
  <c r="M164" i="26"/>
  <c r="P74" i="25"/>
  <c r="K194" i="26"/>
  <c r="P119" i="26"/>
  <c r="O149" i="26"/>
  <c r="P59" i="26"/>
  <c r="O179" i="25"/>
  <c r="J149" i="26"/>
  <c r="P164" i="26"/>
  <c r="L89" i="26"/>
  <c r="M149" i="26"/>
  <c r="K74" i="25"/>
  <c r="J119" i="26"/>
  <c r="M44" i="26"/>
  <c r="L44" i="26"/>
  <c r="K164" i="26"/>
  <c r="O119" i="26"/>
  <c r="O209" i="26"/>
  <c r="N74" i="25"/>
  <c r="J104" i="26"/>
  <c r="K149" i="26"/>
  <c r="P89" i="26"/>
  <c r="O59" i="26"/>
  <c r="J209" i="26"/>
  <c r="N179" i="25"/>
  <c r="L59" i="26"/>
  <c r="K89" i="26"/>
  <c r="M104" i="26"/>
  <c r="L179" i="25"/>
  <c r="N164" i="26"/>
  <c r="K179" i="25"/>
  <c r="K209" i="26"/>
  <c r="L104" i="26"/>
  <c r="N119" i="26"/>
  <c r="L119" i="26"/>
  <c r="L209" i="26"/>
  <c r="P14" i="26"/>
  <c r="P209" i="26"/>
  <c r="O14" i="26"/>
  <c r="J44" i="26"/>
  <c r="L74" i="25"/>
  <c r="M59" i="26"/>
  <c r="P44" i="26"/>
  <c r="N89" i="26"/>
  <c r="J179" i="25"/>
  <c r="P104" i="26"/>
  <c r="K119" i="26"/>
  <c r="N104" i="26"/>
  <c r="L149" i="26"/>
  <c r="K32" i="17"/>
  <c r="K155" i="8"/>
  <c r="K32" i="8" s="1"/>
  <c r="O101" i="3"/>
  <c r="O121" i="3" s="1"/>
  <c r="L97" i="3"/>
  <c r="L117" i="3" s="1"/>
  <c r="P162" i="8"/>
  <c r="P39" i="8" s="1"/>
  <c r="P39" i="17"/>
  <c r="L105" i="3"/>
  <c r="L125" i="3" s="1"/>
  <c r="K97" i="3"/>
  <c r="K117" i="3" s="1"/>
  <c r="P95" i="3"/>
  <c r="N7" i="16"/>
  <c r="N27" i="3"/>
  <c r="L95" i="3"/>
  <c r="O39" i="19"/>
  <c r="L11" i="3"/>
  <c r="L31" i="3" s="1"/>
  <c r="O32" i="19"/>
  <c r="P98" i="3"/>
  <c r="P118" i="3" s="1"/>
  <c r="P97" i="3"/>
  <c r="P117" i="3" s="1"/>
  <c r="O162" i="8"/>
  <c r="O39" i="8" s="1"/>
  <c r="O39" i="17"/>
  <c r="M32" i="19"/>
  <c r="O98" i="3"/>
  <c r="O118" i="3" s="1"/>
  <c r="J18" i="3"/>
  <c r="J38" i="3" s="1"/>
  <c r="P32" i="19"/>
  <c r="L100" i="3"/>
  <c r="L120" i="3" s="1"/>
  <c r="L39" i="19"/>
  <c r="Q157" i="17"/>
  <c r="Q137" i="8"/>
  <c r="Q13" i="8" s="1"/>
  <c r="Q13" i="17"/>
  <c r="P39" i="19"/>
  <c r="Q31" i="19"/>
  <c r="L162" i="8"/>
  <c r="L39" i="8" s="1"/>
  <c r="L39" i="17"/>
  <c r="N39" i="19"/>
  <c r="Q155" i="17"/>
  <c r="Q135" i="8"/>
  <c r="Q11" i="8" s="1"/>
  <c r="Q11" i="16" s="1"/>
  <c r="Q11" i="17"/>
  <c r="O107" i="3"/>
  <c r="O127" i="3" s="1"/>
  <c r="J39" i="19"/>
  <c r="P155" i="8"/>
  <c r="P32" i="8" s="1"/>
  <c r="P32" i="17"/>
  <c r="O28" i="8"/>
  <c r="M28" i="8"/>
  <c r="J115" i="3"/>
  <c r="L32" i="17"/>
  <c r="L155" i="8"/>
  <c r="L32" i="8" s="1"/>
  <c r="Q14" i="19"/>
  <c r="Q14" i="3" s="1"/>
  <c r="Q158" i="19"/>
  <c r="Q158" i="8" s="1"/>
  <c r="Q35" i="8" s="1"/>
  <c r="Q19" i="19"/>
  <c r="Q19" i="3" s="1"/>
  <c r="Q163" i="19"/>
  <c r="N95" i="3"/>
  <c r="M7" i="16"/>
  <c r="M27" i="3"/>
  <c r="M102" i="3"/>
  <c r="M122" i="3" s="1"/>
  <c r="N101" i="3"/>
  <c r="N121" i="3" s="1"/>
  <c r="Q161" i="17"/>
  <c r="Q141" i="8"/>
  <c r="Q17" i="8" s="1"/>
  <c r="Q17" i="16" s="1"/>
  <c r="Q17" i="17"/>
  <c r="Q17" i="3" s="1"/>
  <c r="L104" i="3"/>
  <c r="L124" i="3" s="1"/>
  <c r="Q143" i="8"/>
  <c r="Q19" i="8" s="1"/>
  <c r="Q153" i="17"/>
  <c r="Q133" i="8"/>
  <c r="Q9" i="8" s="1"/>
  <c r="Q9" i="16" s="1"/>
  <c r="Q9" i="17"/>
  <c r="K39" i="17"/>
  <c r="K162" i="8"/>
  <c r="K39" i="8" s="1"/>
  <c r="J32" i="17"/>
  <c r="J155" i="8"/>
  <c r="J32" i="8" s="1"/>
  <c r="N124" i="3"/>
  <c r="L121" i="3"/>
  <c r="M162" i="8"/>
  <c r="M39" i="8" s="1"/>
  <c r="M39" i="17"/>
  <c r="Q156" i="19"/>
  <c r="Q12" i="19"/>
  <c r="Q155" i="19"/>
  <c r="Q11" i="19"/>
  <c r="L128" i="3"/>
  <c r="P28" i="8"/>
  <c r="N32" i="17"/>
  <c r="N155" i="8"/>
  <c r="N32" i="8" s="1"/>
  <c r="P108" i="3"/>
  <c r="P128" i="3" s="1"/>
  <c r="M32" i="17"/>
  <c r="M155" i="8"/>
  <c r="M32" i="8" s="1"/>
  <c r="M95" i="3"/>
  <c r="J101" i="3"/>
  <c r="J121" i="3" s="1"/>
  <c r="O104" i="3"/>
  <c r="O124" i="3" s="1"/>
  <c r="Q131" i="19"/>
  <c r="Q131" i="17"/>
  <c r="M98" i="3"/>
  <c r="M118" i="3" s="1"/>
  <c r="O18" i="3"/>
  <c r="O38" i="3" s="1"/>
  <c r="N32" i="19"/>
  <c r="P104" i="3"/>
  <c r="P124" i="3" s="1"/>
  <c r="N28" i="8"/>
  <c r="L27" i="3"/>
  <c r="L7" i="16"/>
  <c r="Q160" i="17"/>
  <c r="Q140" i="8"/>
  <c r="Q16" i="8" s="1"/>
  <c r="Q16" i="16" s="1"/>
  <c r="Q16" i="17"/>
  <c r="Q164" i="19"/>
  <c r="Q20" i="19"/>
  <c r="J39" i="17"/>
  <c r="J162" i="8"/>
  <c r="J39" i="8" s="1"/>
  <c r="J100" i="3"/>
  <c r="J120" i="3" s="1"/>
  <c r="P101" i="3"/>
  <c r="P121" i="3" s="1"/>
  <c r="J32" i="19"/>
  <c r="N18" i="3"/>
  <c r="N38" i="3" s="1"/>
  <c r="M39" i="19"/>
  <c r="Q37" i="19"/>
  <c r="K31" i="3"/>
  <c r="Q153" i="19"/>
  <c r="Q9" i="19"/>
  <c r="P107" i="3"/>
  <c r="P127" i="3" s="1"/>
  <c r="O120" i="3"/>
  <c r="Q156" i="17"/>
  <c r="Q136" i="8"/>
  <c r="Q12" i="8" s="1"/>
  <c r="Q12" i="16" s="1"/>
  <c r="Q12" i="17"/>
  <c r="L32" i="19"/>
  <c r="O7" i="16"/>
  <c r="O27" i="3"/>
  <c r="N122" i="3"/>
  <c r="K32" i="19"/>
  <c r="K39" i="19"/>
  <c r="K118" i="3"/>
  <c r="L28" i="8"/>
  <c r="O95" i="3"/>
  <c r="O155" i="8"/>
  <c r="O32" i="8" s="1"/>
  <c r="O32" i="17"/>
  <c r="K124" i="3"/>
  <c r="P102" i="3"/>
  <c r="P122" i="3" s="1"/>
  <c r="K115" i="3"/>
  <c r="P100" i="3"/>
  <c r="P120" i="3" s="1"/>
  <c r="P7" i="16"/>
  <c r="P27" i="3"/>
  <c r="Q134" i="8"/>
  <c r="Q10" i="8" s="1"/>
  <c r="Q10" i="16" s="1"/>
  <c r="Q154" i="17"/>
  <c r="Q10" i="17"/>
  <c r="Q10" i="3" s="1"/>
  <c r="J104" i="3"/>
  <c r="J124" i="3" s="1"/>
  <c r="Q164" i="17"/>
  <c r="Q144" i="8"/>
  <c r="Q20" i="8" s="1"/>
  <c r="Q20" i="16" s="1"/>
  <c r="Q20" i="17"/>
  <c r="P105" i="3"/>
  <c r="P125" i="3" s="1"/>
  <c r="J108" i="3"/>
  <c r="J128" i="3" s="1"/>
  <c r="K102" i="3"/>
  <c r="K122" i="3" s="1"/>
  <c r="Q157" i="19"/>
  <c r="Q13" i="19"/>
  <c r="N39" i="17"/>
  <c r="N162" i="8"/>
  <c r="N39" i="8" s="1"/>
  <c r="O97" i="3"/>
  <c r="O117" i="3" s="1"/>
  <c r="L98" i="3"/>
  <c r="L118" i="3" s="1"/>
  <c r="Q138" i="8"/>
  <c r="Q14" i="8" s="1"/>
  <c r="Q55" i="26"/>
  <c r="Q174" i="25"/>
  <c r="Q114" i="26"/>
  <c r="Q143" i="25"/>
  <c r="Q189" i="26"/>
  <c r="Q175" i="25"/>
  <c r="Q160" i="26"/>
  <c r="K67" i="26"/>
  <c r="O68" i="26"/>
  <c r="L173" i="26"/>
  <c r="Q112" i="26"/>
  <c r="J173" i="26"/>
  <c r="Q113" i="25"/>
  <c r="Q37" i="25"/>
  <c r="Q83" i="25"/>
  <c r="N68" i="26"/>
  <c r="J68" i="26"/>
  <c r="K68" i="26"/>
  <c r="Q202" i="25"/>
  <c r="Q175" i="26"/>
  <c r="Q85" i="26"/>
  <c r="Q10" i="25"/>
  <c r="Q40" i="26"/>
  <c r="Q54" i="26"/>
  <c r="P172" i="26"/>
  <c r="O172" i="26"/>
  <c r="Q97" i="25"/>
  <c r="Q53" i="26"/>
  <c r="L172" i="26"/>
  <c r="P67" i="26"/>
  <c r="Q188" i="25"/>
  <c r="K172" i="26"/>
  <c r="Q68" i="25"/>
  <c r="Q142" i="25"/>
  <c r="M173" i="26"/>
  <c r="Q38" i="25"/>
  <c r="K173" i="26"/>
  <c r="Q98" i="25"/>
  <c r="Q115" i="26"/>
  <c r="Q39" i="26"/>
  <c r="Q9" i="25"/>
  <c r="Q84" i="26"/>
  <c r="Q100" i="26"/>
  <c r="M68" i="26"/>
  <c r="P173" i="26"/>
  <c r="N173" i="26"/>
  <c r="Q157" i="25"/>
  <c r="J67" i="26"/>
  <c r="N67" i="26"/>
  <c r="Q203" i="25"/>
  <c r="Q143" i="26"/>
  <c r="Q82" i="25"/>
  <c r="O67" i="26"/>
  <c r="N172" i="26"/>
  <c r="Q70" i="26"/>
  <c r="Q205" i="26"/>
  <c r="O173" i="26"/>
  <c r="P68" i="26"/>
  <c r="Q187" i="26"/>
  <c r="Q67" i="25"/>
  <c r="L67" i="26"/>
  <c r="M172" i="26"/>
  <c r="M67" i="26"/>
  <c r="J172" i="26"/>
  <c r="Q158" i="26"/>
  <c r="L68" i="26"/>
  <c r="Q52" i="25"/>
  <c r="Q99" i="26"/>
  <c r="Q69" i="26"/>
  <c r="Q190" i="26"/>
  <c r="Q159" i="26"/>
  <c r="Q144" i="26"/>
  <c r="Q204" i="26"/>
  <c r="J106" i="3" l="1"/>
  <c r="J126" i="3" s="1"/>
  <c r="Q18" i="17"/>
  <c r="Q162" i="17"/>
  <c r="Q39" i="17" s="1"/>
  <c r="O99" i="3"/>
  <c r="O119" i="3" s="1"/>
  <c r="Q16" i="3"/>
  <c r="Q36" i="3" s="1"/>
  <c r="Q142" i="8"/>
  <c r="Q18" i="8" s="1"/>
  <c r="Q18" i="16" s="1"/>
  <c r="Q18" i="19"/>
  <c r="Q20" i="3"/>
  <c r="Q40" i="3" s="1"/>
  <c r="N106" i="3"/>
  <c r="N126" i="3" s="1"/>
  <c r="P99" i="3"/>
  <c r="P119" i="3" s="1"/>
  <c r="Q13" i="3"/>
  <c r="Q33" i="3" s="1"/>
  <c r="M99" i="3"/>
  <c r="M119" i="3" s="1"/>
  <c r="Q12" i="3"/>
  <c r="Q32" i="3" s="1"/>
  <c r="Q30" i="3"/>
  <c r="L106" i="3"/>
  <c r="L126" i="3" s="1"/>
  <c r="O106" i="3"/>
  <c r="O126" i="3" s="1"/>
  <c r="Q59" i="25"/>
  <c r="J179" i="26"/>
  <c r="M74" i="26"/>
  <c r="M179" i="26"/>
  <c r="L74" i="26"/>
  <c r="Q74" i="25"/>
  <c r="N179" i="26"/>
  <c r="O74" i="26"/>
  <c r="Q89" i="25"/>
  <c r="N74" i="26"/>
  <c r="J74" i="26"/>
  <c r="Q164" i="25"/>
  <c r="Q149" i="25"/>
  <c r="K179" i="26"/>
  <c r="Q194" i="25"/>
  <c r="P74" i="26"/>
  <c r="L179" i="26"/>
  <c r="Q104" i="25"/>
  <c r="O179" i="26"/>
  <c r="P179" i="26"/>
  <c r="Q209" i="25"/>
  <c r="Q44" i="25"/>
  <c r="Q119" i="25"/>
  <c r="K74" i="26"/>
  <c r="Q41" i="17"/>
  <c r="Q160" i="8"/>
  <c r="Q37" i="8" s="1"/>
  <c r="Q37" i="17"/>
  <c r="Q104" i="3" s="1"/>
  <c r="N99" i="3"/>
  <c r="N119" i="3" s="1"/>
  <c r="M106" i="3"/>
  <c r="M126" i="3" s="1"/>
  <c r="Q9" i="3"/>
  <c r="Q29" i="3" s="1"/>
  <c r="Q19" i="16"/>
  <c r="Q39" i="3"/>
  <c r="Q161" i="8"/>
  <c r="Q38" i="8" s="1"/>
  <c r="Q38" i="17"/>
  <c r="Q105" i="3" s="1"/>
  <c r="Q40" i="19"/>
  <c r="Q107" i="3" s="1"/>
  <c r="O115" i="3"/>
  <c r="Q155" i="8"/>
  <c r="Q32" i="8" s="1"/>
  <c r="Q32" i="17"/>
  <c r="Q163" i="8"/>
  <c r="Q40" i="8" s="1"/>
  <c r="Q34" i="17"/>
  <c r="Q164" i="8"/>
  <c r="Q41" i="8" s="1"/>
  <c r="Q41" i="19"/>
  <c r="N115" i="3"/>
  <c r="P115" i="3"/>
  <c r="Q32" i="19"/>
  <c r="J99" i="3"/>
  <c r="J119" i="3" s="1"/>
  <c r="L99" i="3"/>
  <c r="L119" i="3" s="1"/>
  <c r="Q157" i="8"/>
  <c r="Q34" i="8" s="1"/>
  <c r="Q34" i="19"/>
  <c r="Q33" i="17"/>
  <c r="Q131" i="8"/>
  <c r="Q151" i="17"/>
  <c r="Q7" i="17"/>
  <c r="Q30" i="17"/>
  <c r="Q37" i="3"/>
  <c r="Q35" i="19"/>
  <c r="Q102" i="3" s="1"/>
  <c r="Q122" i="3" s="1"/>
  <c r="Q11" i="3"/>
  <c r="Q31" i="3" s="1"/>
  <c r="P106" i="3"/>
  <c r="P126" i="3" s="1"/>
  <c r="Q14" i="16"/>
  <c r="Q34" i="3"/>
  <c r="Q154" i="8"/>
  <c r="Q31" i="8" s="1"/>
  <c r="Q31" i="17"/>
  <c r="Q98" i="3" s="1"/>
  <c r="L115" i="3"/>
  <c r="Q153" i="8"/>
  <c r="Q30" i="8" s="1"/>
  <c r="Q30" i="19"/>
  <c r="Q151" i="19"/>
  <c r="Q7" i="19"/>
  <c r="Q156" i="8"/>
  <c r="Q33" i="8" s="1"/>
  <c r="Q33" i="19"/>
  <c r="K106" i="3"/>
  <c r="K126" i="3" s="1"/>
  <c r="M115" i="3"/>
  <c r="Q13" i="16"/>
  <c r="Q39" i="19"/>
  <c r="K99" i="3"/>
  <c r="K119" i="3" s="1"/>
  <c r="Q174" i="26"/>
  <c r="Q172" i="25"/>
  <c r="Q173" i="25"/>
  <c r="Q202" i="26"/>
  <c r="Q67" i="26"/>
  <c r="Q7" i="25"/>
  <c r="Q52" i="26"/>
  <c r="Q83" i="26"/>
  <c r="Q9" i="26"/>
  <c r="Q142" i="26"/>
  <c r="Q97" i="26"/>
  <c r="Q203" i="26"/>
  <c r="Q38" i="26"/>
  <c r="Q172" i="26"/>
  <c r="Q10" i="26"/>
  <c r="Q157" i="26"/>
  <c r="Q68" i="26"/>
  <c r="Q98" i="26"/>
  <c r="Q37" i="26"/>
  <c r="Q8" i="25"/>
  <c r="Q173" i="26"/>
  <c r="Q188" i="26"/>
  <c r="Q82" i="26"/>
  <c r="Q113" i="26"/>
  <c r="D15" i="7" l="1"/>
  <c r="Q162" i="8"/>
  <c r="Q39" i="8" s="1"/>
  <c r="Q179" i="25"/>
  <c r="Q18" i="3"/>
  <c r="Q38" i="3" s="1"/>
  <c r="Q100" i="3"/>
  <c r="Q120" i="3" s="1"/>
  <c r="Q118" i="3"/>
  <c r="Q106" i="3"/>
  <c r="Q108" i="3"/>
  <c r="Q128" i="3" s="1"/>
  <c r="Q97" i="3"/>
  <c r="Q117" i="3" s="1"/>
  <c r="Q101" i="3"/>
  <c r="Q121" i="3" s="1"/>
  <c r="Q99" i="3"/>
  <c r="Q119" i="3" s="1"/>
  <c r="Q119" i="26"/>
  <c r="Q89" i="26"/>
  <c r="Q194" i="26"/>
  <c r="Q44" i="26"/>
  <c r="Q164" i="26"/>
  <c r="Q179" i="26"/>
  <c r="Q104" i="26"/>
  <c r="Q149" i="26"/>
  <c r="Q59" i="26"/>
  <c r="Q14" i="25"/>
  <c r="Q74" i="26"/>
  <c r="Q209" i="26"/>
  <c r="Q7" i="8"/>
  <c r="Q125" i="3"/>
  <c r="Q7" i="3"/>
  <c r="Q127" i="3"/>
  <c r="Q28" i="19"/>
  <c r="Q151" i="8"/>
  <c r="Q28" i="17"/>
  <c r="Q124" i="3"/>
  <c r="Q8" i="26"/>
  <c r="Q7" i="26"/>
  <c r="H43" i="7" l="1"/>
  <c r="I43" i="7" s="1"/>
  <c r="J43" i="7" s="1"/>
  <c r="Q126" i="3"/>
  <c r="Q14" i="26"/>
  <c r="Q95" i="3"/>
  <c r="Q28" i="8"/>
  <c r="Q7" i="16"/>
  <c r="Q27" i="3"/>
  <c r="N55" i="3" l="1"/>
  <c r="D55" i="3"/>
  <c r="D76" i="3"/>
  <c r="N76" i="3"/>
  <c r="N15" i="7"/>
  <c r="N61" i="18"/>
  <c r="N18" i="24"/>
  <c r="N97" i="24" s="1"/>
  <c r="D18" i="24"/>
  <c r="Q115" i="3"/>
  <c r="Q55" i="3" l="1"/>
  <c r="L15" i="7"/>
  <c r="J15" i="7"/>
  <c r="J15" i="11" s="1"/>
  <c r="K55" i="3"/>
  <c r="J76" i="3"/>
  <c r="J61" i="18" s="1"/>
  <c r="L55" i="3"/>
  <c r="P15" i="7"/>
  <c r="P15" i="11" s="1"/>
  <c r="J55" i="3"/>
  <c r="L76" i="3"/>
  <c r="L61" i="18" s="1"/>
  <c r="P76" i="3"/>
  <c r="M55" i="3"/>
  <c r="M57" i="19" s="1"/>
  <c r="I15" i="7"/>
  <c r="O55" i="3"/>
  <c r="O61" i="18" s="1"/>
  <c r="P55" i="3"/>
  <c r="O76" i="3"/>
  <c r="M15" i="7"/>
  <c r="I55" i="3"/>
  <c r="N57" i="17" s="1"/>
  <c r="Q15" i="7"/>
  <c r="Q76" i="3"/>
  <c r="Q18" i="24" s="1"/>
  <c r="Q97" i="24" s="1"/>
  <c r="O15" i="7"/>
  <c r="M76" i="3"/>
  <c r="K15" i="7"/>
  <c r="I76" i="3"/>
  <c r="H76" i="3" s="1"/>
  <c r="K76" i="3"/>
  <c r="N40" i="18"/>
  <c r="N82" i="18" s="1"/>
  <c r="L15" i="11"/>
  <c r="M15" i="11"/>
  <c r="K15" i="11"/>
  <c r="N57" i="19"/>
  <c r="K18" i="24"/>
  <c r="K97" i="24" s="1"/>
  <c r="K61" i="18"/>
  <c r="Q15" i="11"/>
  <c r="H55" i="3"/>
  <c r="H18" i="24" s="1"/>
  <c r="L18" i="24"/>
  <c r="L97" i="24" s="1"/>
  <c r="O15" i="11"/>
  <c r="J18" i="24"/>
  <c r="J97" i="24" s="1"/>
  <c r="Q61" i="18"/>
  <c r="F55" i="3"/>
  <c r="M57" i="17"/>
  <c r="H15" i="7"/>
  <c r="G15" i="7"/>
  <c r="E15" i="7"/>
  <c r="F15" i="7"/>
  <c r="O18" i="24"/>
  <c r="O97" i="24" s="1"/>
  <c r="P18" i="24"/>
  <c r="P97" i="24" s="1"/>
  <c r="P61" i="18"/>
  <c r="D97" i="24"/>
  <c r="D39" i="24"/>
  <c r="D59" i="24"/>
  <c r="N15" i="11"/>
  <c r="L132" i="25"/>
  <c r="M132" i="25"/>
  <c r="K132" i="25"/>
  <c r="J132" i="25"/>
  <c r="O132" i="25"/>
  <c r="P132" i="25"/>
  <c r="N132" i="25"/>
  <c r="Q132" i="25"/>
  <c r="P40" i="18" l="1"/>
  <c r="P82" i="18" s="1"/>
  <c r="O40" i="18"/>
  <c r="O57" i="19"/>
  <c r="M18" i="24"/>
  <c r="M97" i="24" s="1"/>
  <c r="F76" i="3"/>
  <c r="Q57" i="17"/>
  <c r="G55" i="3"/>
  <c r="L40" i="18"/>
  <c r="L82" i="18" s="1"/>
  <c r="J40" i="18"/>
  <c r="J82" i="18" s="1"/>
  <c r="M40" i="18"/>
  <c r="M82" i="18" s="1"/>
  <c r="E55" i="3"/>
  <c r="P57" i="19"/>
  <c r="O57" i="17"/>
  <c r="O57" i="8" s="1"/>
  <c r="M61" i="18"/>
  <c r="J57" i="19"/>
  <c r="L57" i="19"/>
  <c r="K57" i="19"/>
  <c r="K57" i="8" s="1"/>
  <c r="I18" i="24"/>
  <c r="I97" i="24" s="1"/>
  <c r="E76" i="3"/>
  <c r="Q40" i="18"/>
  <c r="Q82" i="18" s="1"/>
  <c r="I40" i="18"/>
  <c r="G40" i="18" s="1"/>
  <c r="G82" i="18" s="1"/>
  <c r="K40" i="18"/>
  <c r="G76" i="3"/>
  <c r="G18" i="24" s="1"/>
  <c r="P57" i="17"/>
  <c r="Q57" i="19"/>
  <c r="J57" i="17"/>
  <c r="J57" i="8" s="1"/>
  <c r="L57" i="17"/>
  <c r="K57" i="17"/>
  <c r="I19" i="18"/>
  <c r="N103" i="18" s="1"/>
  <c r="K82" i="18"/>
  <c r="O103" i="18"/>
  <c r="K103" i="18"/>
  <c r="L57" i="8"/>
  <c r="O82" i="18"/>
  <c r="J103" i="18"/>
  <c r="Q57" i="8"/>
  <c r="L103" i="18"/>
  <c r="M103" i="18"/>
  <c r="O145" i="18"/>
  <c r="J145" i="18"/>
  <c r="P208" i="18"/>
  <c r="N208" i="18"/>
  <c r="L208" i="18"/>
  <c r="O208" i="18"/>
  <c r="P145" i="18"/>
  <c r="M145" i="18"/>
  <c r="M208" i="18"/>
  <c r="J208" i="18"/>
  <c r="N145" i="18"/>
  <c r="K208" i="18"/>
  <c r="Q145" i="18"/>
  <c r="L145" i="18"/>
  <c r="K145" i="18"/>
  <c r="Q208" i="18"/>
  <c r="I82" i="18"/>
  <c r="N124" i="18" s="1"/>
  <c r="F40" i="18"/>
  <c r="F82" i="18" s="1"/>
  <c r="H40" i="18"/>
  <c r="H82" i="18" s="1"/>
  <c r="P57" i="8"/>
  <c r="P103" i="18"/>
  <c r="M57" i="8"/>
  <c r="F18" i="24"/>
  <c r="Q103" i="18"/>
  <c r="H97" i="24"/>
  <c r="H39" i="24"/>
  <c r="H59" i="24"/>
  <c r="N57" i="8"/>
  <c r="E18" i="24" l="1"/>
  <c r="E40" i="18"/>
  <c r="E82" i="18" s="1"/>
  <c r="K124" i="18"/>
  <c r="K139" i="17" s="1"/>
  <c r="P124" i="18"/>
  <c r="P139" i="17" s="1"/>
  <c r="Q124" i="18"/>
  <c r="Q139" i="19" s="1"/>
  <c r="L124" i="18"/>
  <c r="N139" i="17"/>
  <c r="N139" i="19"/>
  <c r="G97" i="24"/>
  <c r="G39" i="24"/>
  <c r="G59" i="24"/>
  <c r="J124" i="18"/>
  <c r="F59" i="24"/>
  <c r="F39" i="24"/>
  <c r="F97" i="24"/>
  <c r="M124" i="18"/>
  <c r="O124" i="18"/>
  <c r="K129" i="25"/>
  <c r="N130" i="25"/>
  <c r="Q130" i="25"/>
  <c r="P129" i="25"/>
  <c r="N129" i="25"/>
  <c r="E97" i="24" l="1"/>
  <c r="E59" i="24"/>
  <c r="E39" i="24"/>
  <c r="P139" i="19"/>
  <c r="P15" i="19" s="1"/>
  <c r="K139" i="19"/>
  <c r="Q139" i="17"/>
  <c r="Q159" i="17" s="1"/>
  <c r="N139" i="8"/>
  <c r="N15" i="8" s="1"/>
  <c r="N15" i="16" s="1"/>
  <c r="N159" i="17"/>
  <c r="N15" i="17"/>
  <c r="M139" i="19"/>
  <c r="M139" i="17"/>
  <c r="P159" i="17"/>
  <c r="P15" i="17"/>
  <c r="J139" i="19"/>
  <c r="J139" i="17"/>
  <c r="L139" i="19"/>
  <c r="L139" i="17"/>
  <c r="O139" i="19"/>
  <c r="O139" i="17"/>
  <c r="Q159" i="19"/>
  <c r="Q15" i="19"/>
  <c r="N159" i="19"/>
  <c r="N15" i="19"/>
  <c r="K159" i="17"/>
  <c r="K15" i="17"/>
  <c r="P130" i="25"/>
  <c r="K130" i="25"/>
  <c r="Q129" i="25"/>
  <c r="P128" i="25"/>
  <c r="L130" i="25"/>
  <c r="Q129" i="26"/>
  <c r="N127" i="25"/>
  <c r="Q128" i="25"/>
  <c r="M130" i="25"/>
  <c r="L129" i="25"/>
  <c r="Q130" i="26"/>
  <c r="K129" i="26"/>
  <c r="P127" i="25"/>
  <c r="N128" i="25"/>
  <c r="M129" i="25"/>
  <c r="J130" i="25"/>
  <c r="O130" i="25"/>
  <c r="K127" i="25"/>
  <c r="N129" i="26"/>
  <c r="P129" i="26"/>
  <c r="J129" i="25"/>
  <c r="O129" i="25"/>
  <c r="N130" i="26"/>
  <c r="P159" i="19" l="1"/>
  <c r="P36" i="19" s="1"/>
  <c r="K159" i="19"/>
  <c r="K159" i="8" s="1"/>
  <c r="K36" i="8" s="1"/>
  <c r="P139" i="8"/>
  <c r="P15" i="8" s="1"/>
  <c r="P15" i="16" s="1"/>
  <c r="K15" i="19"/>
  <c r="K15" i="3" s="1"/>
  <c r="K139" i="8"/>
  <c r="K15" i="8" s="1"/>
  <c r="K15" i="16" s="1"/>
  <c r="Q15" i="17"/>
  <c r="Q15" i="3" s="1"/>
  <c r="Q139" i="8"/>
  <c r="Q15" i="8" s="1"/>
  <c r="Q15" i="16" s="1"/>
  <c r="P15" i="3"/>
  <c r="P134" i="25"/>
  <c r="N134" i="25"/>
  <c r="N36" i="19"/>
  <c r="O139" i="8"/>
  <c r="O15" i="8" s="1"/>
  <c r="O15" i="16" s="1"/>
  <c r="O159" i="17"/>
  <c r="O15" i="17"/>
  <c r="J159" i="17"/>
  <c r="J139" i="8"/>
  <c r="J15" i="8" s="1"/>
  <c r="J15" i="17"/>
  <c r="P36" i="17"/>
  <c r="N36" i="17"/>
  <c r="N159" i="8"/>
  <c r="N36" i="8" s="1"/>
  <c r="O159" i="19"/>
  <c r="O15" i="19"/>
  <c r="J159" i="19"/>
  <c r="J15" i="19"/>
  <c r="M15" i="17"/>
  <c r="M139" i="8"/>
  <c r="M15" i="8" s="1"/>
  <c r="M159" i="17"/>
  <c r="K36" i="17"/>
  <c r="Q36" i="19"/>
  <c r="L15" i="17"/>
  <c r="L139" i="8"/>
  <c r="L15" i="8" s="1"/>
  <c r="L15" i="16" s="1"/>
  <c r="L159" i="17"/>
  <c r="M159" i="19"/>
  <c r="M15" i="19"/>
  <c r="Q159" i="8"/>
  <c r="Q36" i="8" s="1"/>
  <c r="Q36" i="17"/>
  <c r="L159" i="19"/>
  <c r="L15" i="19"/>
  <c r="N15" i="3"/>
  <c r="N35" i="3" s="1"/>
  <c r="P130" i="26"/>
  <c r="K130" i="26"/>
  <c r="K128" i="25"/>
  <c r="Q127" i="25"/>
  <c r="N128" i="26"/>
  <c r="P127" i="26"/>
  <c r="O128" i="25"/>
  <c r="K127" i="26"/>
  <c r="P128" i="26"/>
  <c r="O129" i="26"/>
  <c r="J130" i="26"/>
  <c r="M129" i="26"/>
  <c r="L129" i="26"/>
  <c r="J127" i="25"/>
  <c r="M128" i="25"/>
  <c r="L128" i="25"/>
  <c r="N127" i="26"/>
  <c r="J128" i="25"/>
  <c r="Q128" i="26"/>
  <c r="M130" i="26"/>
  <c r="O127" i="25"/>
  <c r="M127" i="25"/>
  <c r="L127" i="25"/>
  <c r="Q127" i="26"/>
  <c r="J129" i="26"/>
  <c r="O130" i="26"/>
  <c r="L130" i="26"/>
  <c r="K35" i="3" l="1"/>
  <c r="K36" i="19"/>
  <c r="K103" i="3" s="1"/>
  <c r="K123" i="3" s="1"/>
  <c r="P159" i="8"/>
  <c r="P36" i="8" s="1"/>
  <c r="K134" i="25"/>
  <c r="P35" i="3"/>
  <c r="N103" i="3"/>
  <c r="N123" i="3" s="1"/>
  <c r="Q35" i="3"/>
  <c r="Q134" i="25"/>
  <c r="J15" i="3"/>
  <c r="J35" i="3" s="1"/>
  <c r="Q134" i="26"/>
  <c r="L134" i="25"/>
  <c r="M134" i="25"/>
  <c r="O134" i="25"/>
  <c r="N134" i="26"/>
  <c r="J134" i="25"/>
  <c r="P134" i="26"/>
  <c r="J15" i="16"/>
  <c r="L36" i="19"/>
  <c r="L15" i="3"/>
  <c r="L35" i="3" s="1"/>
  <c r="M15" i="3"/>
  <c r="M35" i="3" s="1"/>
  <c r="O36" i="19"/>
  <c r="P103" i="3"/>
  <c r="J36" i="17"/>
  <c r="J159" i="8"/>
  <c r="J36" i="8" s="1"/>
  <c r="Q103" i="3"/>
  <c r="Q123" i="3" s="1"/>
  <c r="M36" i="19"/>
  <c r="O15" i="3"/>
  <c r="O35" i="3" s="1"/>
  <c r="M15" i="16"/>
  <c r="L36" i="17"/>
  <c r="L159" i="8"/>
  <c r="L36" i="8" s="1"/>
  <c r="M36" i="17"/>
  <c r="M159" i="8"/>
  <c r="M36" i="8" s="1"/>
  <c r="J36" i="19"/>
  <c r="O159" i="8"/>
  <c r="O36" i="8" s="1"/>
  <c r="O36" i="17"/>
  <c r="K128" i="26"/>
  <c r="L128" i="26"/>
  <c r="J128" i="26"/>
  <c r="O128" i="26"/>
  <c r="O127" i="26"/>
  <c r="J127" i="26"/>
  <c r="L127" i="26"/>
  <c r="M128" i="26"/>
  <c r="M127" i="26"/>
  <c r="P123" i="3" l="1"/>
  <c r="K134" i="26"/>
  <c r="L103" i="3"/>
  <c r="L123" i="3" s="1"/>
  <c r="M103" i="3"/>
  <c r="M123" i="3" s="1"/>
  <c r="O103" i="3"/>
  <c r="O123" i="3" s="1"/>
  <c r="M134" i="26"/>
  <c r="L134" i="26"/>
  <c r="J134" i="26"/>
  <c r="O134" i="26"/>
  <c r="J103" i="3"/>
  <c r="J123" i="3" s="1"/>
  <c r="H36" i="7" l="1"/>
  <c r="D8" i="7"/>
  <c r="D21" i="7" s="1"/>
  <c r="I36" i="7"/>
  <c r="J36" i="7" s="1"/>
  <c r="H49" i="7"/>
  <c r="I49" i="7" s="1"/>
  <c r="J49" i="7" s="1"/>
  <c r="H50" i="7" l="1"/>
  <c r="D69" i="3"/>
  <c r="D48" i="3"/>
  <c r="D22" i="7"/>
  <c r="D11" i="24"/>
  <c r="D61" i="3"/>
  <c r="D82" i="3"/>
  <c r="O48" i="3" l="1"/>
  <c r="D62" i="3"/>
  <c r="M48" i="3"/>
  <c r="N8" i="7"/>
  <c r="N21" i="7" s="1"/>
  <c r="K8" i="7"/>
  <c r="K21" i="7" s="1"/>
  <c r="L69" i="3"/>
  <c r="L82" i="3" s="1"/>
  <c r="I8" i="7"/>
  <c r="J69" i="3"/>
  <c r="J82" i="3" s="1"/>
  <c r="P69" i="3"/>
  <c r="P82" i="3" s="1"/>
  <c r="P8" i="7"/>
  <c r="P21" i="7" s="1"/>
  <c r="O69" i="3"/>
  <c r="O82" i="3" s="1"/>
  <c r="K69" i="3"/>
  <c r="K82" i="3" s="1"/>
  <c r="N69" i="3"/>
  <c r="N82" i="3" s="1"/>
  <c r="Q8" i="7"/>
  <c r="Q21" i="7" s="1"/>
  <c r="M8" i="7"/>
  <c r="M21" i="7" s="1"/>
  <c r="J8" i="7"/>
  <c r="J21" i="7" s="1"/>
  <c r="N48" i="3"/>
  <c r="K48" i="3"/>
  <c r="I48" i="3"/>
  <c r="F48" i="3" s="1"/>
  <c r="L8" i="7"/>
  <c r="L21" i="7" s="1"/>
  <c r="P48" i="3"/>
  <c r="I69" i="3"/>
  <c r="I82" i="3" s="1"/>
  <c r="Q69" i="3"/>
  <c r="Q82" i="3" s="1"/>
  <c r="O8" i="7"/>
  <c r="O21" i="7" s="1"/>
  <c r="Q48" i="3"/>
  <c r="J48" i="3"/>
  <c r="D83" i="3"/>
  <c r="L48" i="3"/>
  <c r="M69" i="3"/>
  <c r="M82" i="3" s="1"/>
  <c r="E69" i="3"/>
  <c r="E82" i="3" s="1"/>
  <c r="K8" i="11"/>
  <c r="F61" i="3"/>
  <c r="M8" i="11"/>
  <c r="M86" i="3"/>
  <c r="D24" i="24"/>
  <c r="D90" i="24"/>
  <c r="D52" i="24"/>
  <c r="D32" i="24"/>
  <c r="O11" i="24"/>
  <c r="O90" i="24" s="1"/>
  <c r="O50" i="17"/>
  <c r="O50" i="19"/>
  <c r="O54" i="18"/>
  <c r="O61" i="3"/>
  <c r="O24" i="24" s="1"/>
  <c r="M54" i="18"/>
  <c r="M50" i="17"/>
  <c r="M11" i="24"/>
  <c r="M90" i="24" s="1"/>
  <c r="M50" i="19"/>
  <c r="M61" i="3"/>
  <c r="M24" i="24" s="1"/>
  <c r="I21" i="7"/>
  <c r="Q28" i="11" s="1"/>
  <c r="G8" i="7"/>
  <c r="G21" i="7" s="1"/>
  <c r="H8" i="7"/>
  <c r="H21" i="7" s="1"/>
  <c r="E8" i="7"/>
  <c r="E21" i="7" s="1"/>
  <c r="F8" i="7"/>
  <c r="F21" i="7" s="1"/>
  <c r="H69" i="3"/>
  <c r="H82" i="3" s="1"/>
  <c r="O8" i="11"/>
  <c r="N8" i="11"/>
  <c r="G48" i="3"/>
  <c r="Q54" i="18"/>
  <c r="Q50" i="17"/>
  <c r="Q11" i="24"/>
  <c r="Q90" i="24" s="1"/>
  <c r="Q50" i="19"/>
  <c r="Q61" i="3"/>
  <c r="Q24" i="24" s="1"/>
  <c r="J54" i="18"/>
  <c r="J11" i="24"/>
  <c r="J90" i="24" s="1"/>
  <c r="J50" i="17"/>
  <c r="J50" i="19"/>
  <c r="J61" i="3"/>
  <c r="J24" i="24" s="1"/>
  <c r="L50" i="17"/>
  <c r="L50" i="19"/>
  <c r="L54" i="18"/>
  <c r="L11" i="24"/>
  <c r="L90" i="24" s="1"/>
  <c r="L61" i="3"/>
  <c r="L24" i="24" s="1"/>
  <c r="G69" i="3"/>
  <c r="G82" i="3" s="1"/>
  <c r="L8" i="11"/>
  <c r="Q8" i="11"/>
  <c r="N54" i="18"/>
  <c r="N50" i="17"/>
  <c r="N11" i="24"/>
  <c r="N90" i="24" s="1"/>
  <c r="N50" i="19"/>
  <c r="N61" i="3"/>
  <c r="N24" i="24" s="1"/>
  <c r="K50" i="19"/>
  <c r="K54" i="18"/>
  <c r="K11" i="24"/>
  <c r="K90" i="24" s="1"/>
  <c r="K50" i="17"/>
  <c r="K61" i="3"/>
  <c r="K24" i="24" s="1"/>
  <c r="H48" i="3"/>
  <c r="I11" i="24"/>
  <c r="I90" i="24" s="1"/>
  <c r="I12" i="18"/>
  <c r="I61" i="3"/>
  <c r="P11" i="24"/>
  <c r="P90" i="24" s="1"/>
  <c r="P50" i="17"/>
  <c r="P50" i="19"/>
  <c r="P54" i="18"/>
  <c r="P61" i="3"/>
  <c r="P24" i="24" s="1"/>
  <c r="F69" i="3"/>
  <c r="F82" i="3" s="1"/>
  <c r="P8" i="11"/>
  <c r="J8" i="11"/>
  <c r="E48" i="3"/>
  <c r="K27" i="25"/>
  <c r="O27" i="25"/>
  <c r="P27" i="25"/>
  <c r="N27" i="25"/>
  <c r="J27" i="25"/>
  <c r="Q222" i="26"/>
  <c r="L27" i="25"/>
  <c r="M27" i="25"/>
  <c r="Q27" i="25"/>
  <c r="P33" i="18" l="1"/>
  <c r="N62" i="3"/>
  <c r="L83" i="3"/>
  <c r="O33" i="18"/>
  <c r="Q22" i="7"/>
  <c r="I22" i="7"/>
  <c r="N22" i="7"/>
  <c r="O83" i="3"/>
  <c r="K33" i="18"/>
  <c r="P62" i="3"/>
  <c r="N33" i="18"/>
  <c r="J33" i="18"/>
  <c r="J83" i="3"/>
  <c r="M62" i="3"/>
  <c r="Q62" i="3"/>
  <c r="L22" i="7"/>
  <c r="M22" i="7"/>
  <c r="Q83" i="3"/>
  <c r="I33" i="18"/>
  <c r="I62" i="3"/>
  <c r="G62" i="3" s="1"/>
  <c r="K62" i="3"/>
  <c r="J62" i="3"/>
  <c r="M33" i="18"/>
  <c r="O62" i="3"/>
  <c r="L62" i="3"/>
  <c r="Q33" i="18"/>
  <c r="P83" i="3"/>
  <c r="J22" i="7"/>
  <c r="P22" i="7"/>
  <c r="I83" i="3"/>
  <c r="H83" i="3" s="1"/>
  <c r="N83" i="3"/>
  <c r="L33" i="18"/>
  <c r="K22" i="7"/>
  <c r="O22" i="7"/>
  <c r="M83" i="3"/>
  <c r="K83" i="3"/>
  <c r="K222" i="25"/>
  <c r="K21" i="11"/>
  <c r="K12" i="22" s="1"/>
  <c r="Q222" i="25"/>
  <c r="M222" i="25"/>
  <c r="L222" i="25"/>
  <c r="J222" i="25"/>
  <c r="N222" i="25"/>
  <c r="P222" i="25"/>
  <c r="O222" i="25"/>
  <c r="M75" i="18"/>
  <c r="M46" i="18"/>
  <c r="Q75" i="18"/>
  <c r="Q46" i="18"/>
  <c r="P50" i="8"/>
  <c r="P63" i="17"/>
  <c r="Q201" i="18"/>
  <c r="P201" i="18"/>
  <c r="J138" i="18"/>
  <c r="N138" i="18"/>
  <c r="M201" i="18"/>
  <c r="O201" i="18"/>
  <c r="Q138" i="18"/>
  <c r="K138" i="18"/>
  <c r="N201" i="18"/>
  <c r="L201" i="18"/>
  <c r="O138" i="18"/>
  <c r="L138" i="18"/>
  <c r="J201" i="18"/>
  <c r="K201" i="18"/>
  <c r="P138" i="18"/>
  <c r="M138" i="18"/>
  <c r="N63" i="19"/>
  <c r="Q21" i="11"/>
  <c r="Q12" i="22" s="1"/>
  <c r="G83" i="3"/>
  <c r="J63" i="19"/>
  <c r="Q96" i="18"/>
  <c r="Q109" i="18" s="1"/>
  <c r="Q67" i="18"/>
  <c r="F62" i="3"/>
  <c r="O63" i="19"/>
  <c r="M21" i="11"/>
  <c r="M12" i="22" s="1"/>
  <c r="F11" i="24"/>
  <c r="O28" i="11"/>
  <c r="K75" i="18"/>
  <c r="K46" i="18"/>
  <c r="L75" i="18"/>
  <c r="L46" i="18"/>
  <c r="E11" i="24"/>
  <c r="E61" i="3"/>
  <c r="E24" i="24" s="1"/>
  <c r="H11" i="24"/>
  <c r="H61" i="3"/>
  <c r="H24" i="24" s="1"/>
  <c r="K96" i="18"/>
  <c r="K109" i="18" s="1"/>
  <c r="K67" i="18"/>
  <c r="L21" i="11"/>
  <c r="L12" i="22" s="1"/>
  <c r="L96" i="18"/>
  <c r="L109" i="18" s="1"/>
  <c r="L67" i="18"/>
  <c r="E83" i="3"/>
  <c r="J50" i="8"/>
  <c r="J63" i="17"/>
  <c r="Q63" i="19"/>
  <c r="G11" i="24"/>
  <c r="G61" i="3"/>
  <c r="G24" i="24" s="1"/>
  <c r="Q25" i="22"/>
  <c r="Q237" i="26" s="1"/>
  <c r="M50" i="8"/>
  <c r="M63" i="17"/>
  <c r="H62" i="3"/>
  <c r="O50" i="8"/>
  <c r="O63" i="17"/>
  <c r="J28" i="11"/>
  <c r="K28" i="11"/>
  <c r="O75" i="18"/>
  <c r="O46" i="18"/>
  <c r="H22" i="7"/>
  <c r="E22" i="7"/>
  <c r="G22" i="7"/>
  <c r="F22" i="7"/>
  <c r="J21" i="11"/>
  <c r="J12" i="22" s="1"/>
  <c r="P96" i="18"/>
  <c r="P109" i="18" s="1"/>
  <c r="P67" i="18"/>
  <c r="I25" i="18"/>
  <c r="K2" i="18"/>
  <c r="I24" i="24"/>
  <c r="K63" i="19"/>
  <c r="N50" i="8"/>
  <c r="N63" i="17"/>
  <c r="L63" i="19"/>
  <c r="F83" i="3"/>
  <c r="N21" i="11"/>
  <c r="N12" i="22" s="1"/>
  <c r="M96" i="18"/>
  <c r="M109" i="18" s="1"/>
  <c r="M67" i="18"/>
  <c r="L28" i="11"/>
  <c r="M28" i="11"/>
  <c r="N28" i="11"/>
  <c r="P75" i="18"/>
  <c r="P46" i="18"/>
  <c r="I75" i="18"/>
  <c r="I88" i="18" s="1"/>
  <c r="G33" i="18"/>
  <c r="H33" i="18"/>
  <c r="F33" i="18"/>
  <c r="E33" i="18"/>
  <c r="I46" i="18"/>
  <c r="N75" i="18"/>
  <c r="N46" i="18"/>
  <c r="J75" i="18"/>
  <c r="J46" i="18"/>
  <c r="P21" i="11"/>
  <c r="P12" i="22" s="1"/>
  <c r="P63" i="19"/>
  <c r="K50" i="8"/>
  <c r="K63" i="17"/>
  <c r="N96" i="18"/>
  <c r="N109" i="18" s="1"/>
  <c r="N67" i="18"/>
  <c r="L50" i="8"/>
  <c r="L63" i="17"/>
  <c r="J96" i="18"/>
  <c r="J109" i="18" s="1"/>
  <c r="J67" i="18"/>
  <c r="Q50" i="8"/>
  <c r="Q63" i="17"/>
  <c r="O21" i="11"/>
  <c r="O12" i="22" s="1"/>
  <c r="M63" i="19"/>
  <c r="E62" i="3"/>
  <c r="O96" i="18"/>
  <c r="O109" i="18" s="1"/>
  <c r="O67" i="18"/>
  <c r="F24" i="24"/>
  <c r="P28" i="11"/>
  <c r="N222" i="26"/>
  <c r="P222" i="26"/>
  <c r="J222" i="26"/>
  <c r="K222" i="26"/>
  <c r="L222" i="26"/>
  <c r="O222" i="26"/>
  <c r="M222" i="26"/>
  <c r="L47" i="18" l="1"/>
  <c r="O47" i="18"/>
  <c r="M47" i="18"/>
  <c r="J47" i="18"/>
  <c r="I47" i="18"/>
  <c r="Q47" i="18"/>
  <c r="K47" i="18"/>
  <c r="N47" i="18"/>
  <c r="P47" i="18"/>
  <c r="K237" i="25"/>
  <c r="J237" i="25"/>
  <c r="G47" i="18"/>
  <c r="E47" i="18"/>
  <c r="F47" i="18"/>
  <c r="H47" i="18"/>
  <c r="J117" i="18"/>
  <c r="J88" i="18"/>
  <c r="E75" i="18"/>
  <c r="E88" i="18" s="1"/>
  <c r="E46" i="18"/>
  <c r="M25" i="22"/>
  <c r="M237" i="26" s="1"/>
  <c r="O117" i="18"/>
  <c r="O88" i="18"/>
  <c r="G32" i="24"/>
  <c r="G52" i="24"/>
  <c r="G90" i="24"/>
  <c r="O25" i="22"/>
  <c r="O237" i="26" s="1"/>
  <c r="P63" i="8"/>
  <c r="M117" i="18"/>
  <c r="M88" i="18"/>
  <c r="Q63" i="8"/>
  <c r="F75" i="18"/>
  <c r="F88" i="18" s="1"/>
  <c r="F46" i="18"/>
  <c r="L25" i="22"/>
  <c r="L237" i="26" s="1"/>
  <c r="K25" i="22"/>
  <c r="K237" i="26" s="1"/>
  <c r="O63" i="8"/>
  <c r="M63" i="8"/>
  <c r="J63" i="8"/>
  <c r="H52" i="24"/>
  <c r="H90" i="24"/>
  <c r="H32" i="24"/>
  <c r="L117" i="18"/>
  <c r="L88" i="18"/>
  <c r="F52" i="24"/>
  <c r="F32" i="24"/>
  <c r="F90" i="24"/>
  <c r="O237" i="25"/>
  <c r="L237" i="25"/>
  <c r="L63" i="8"/>
  <c r="N117" i="18"/>
  <c r="N88" i="18"/>
  <c r="H75" i="18"/>
  <c r="H88" i="18" s="1"/>
  <c r="H46" i="18"/>
  <c r="P117" i="18"/>
  <c r="P88" i="18"/>
  <c r="N63" i="8"/>
  <c r="J25" i="22"/>
  <c r="J237" i="26" s="1"/>
  <c r="Q117" i="18"/>
  <c r="Q88" i="18"/>
  <c r="P237" i="25"/>
  <c r="M237" i="25"/>
  <c r="P25" i="22"/>
  <c r="P237" i="26" s="1"/>
  <c r="K63" i="8"/>
  <c r="G75" i="18"/>
  <c r="G88" i="18" s="1"/>
  <c r="G46" i="18"/>
  <c r="N25" i="22"/>
  <c r="N237" i="26" s="1"/>
  <c r="E52" i="24"/>
  <c r="E90" i="24"/>
  <c r="E32" i="24"/>
  <c r="K117" i="18"/>
  <c r="K88" i="18"/>
  <c r="N237" i="25"/>
  <c r="Q237" i="25"/>
  <c r="P132" i="17" l="1"/>
  <c r="P132" i="19"/>
  <c r="N132" i="17"/>
  <c r="N132" i="19"/>
  <c r="L132" i="17"/>
  <c r="L132" i="19"/>
  <c r="K132" i="19"/>
  <c r="K132" i="17"/>
  <c r="M132" i="19"/>
  <c r="M132" i="17"/>
  <c r="O132" i="19"/>
  <c r="O132" i="17"/>
  <c r="Q132" i="17"/>
  <c r="Q132" i="19"/>
  <c r="J132" i="17"/>
  <c r="J132" i="19"/>
  <c r="P24" i="25"/>
  <c r="L24" i="25"/>
  <c r="M25" i="25"/>
  <c r="Q24" i="25"/>
  <c r="P25" i="25"/>
  <c r="L25" i="25"/>
  <c r="M24" i="25"/>
  <c r="Q25" i="25"/>
  <c r="N24" i="25"/>
  <c r="K25" i="25"/>
  <c r="O25" i="25"/>
  <c r="J24" i="25"/>
  <c r="N25" i="25"/>
  <c r="K24" i="25"/>
  <c r="O24" i="25"/>
  <c r="J25" i="25"/>
  <c r="J220" i="25" l="1"/>
  <c r="O219" i="25"/>
  <c r="K219" i="25"/>
  <c r="N220" i="25"/>
  <c r="J219" i="25"/>
  <c r="O220" i="25"/>
  <c r="K220" i="25"/>
  <c r="N219" i="25"/>
  <c r="Q220" i="25"/>
  <c r="M219" i="25"/>
  <c r="L220" i="25"/>
  <c r="P220" i="25"/>
  <c r="Q219" i="25"/>
  <c r="M220" i="25"/>
  <c r="L219" i="25"/>
  <c r="P219" i="25"/>
  <c r="J152" i="19"/>
  <c r="J145" i="19"/>
  <c r="J10" i="22" s="1"/>
  <c r="J8" i="19"/>
  <c r="J21" i="19" s="1"/>
  <c r="O132" i="8"/>
  <c r="O152" i="17"/>
  <c r="O145" i="17"/>
  <c r="O9" i="22" s="1"/>
  <c r="O8" i="17"/>
  <c r="K152" i="17"/>
  <c r="K132" i="8"/>
  <c r="K145" i="17"/>
  <c r="K9" i="22" s="1"/>
  <c r="K8" i="17"/>
  <c r="N152" i="19"/>
  <c r="N145" i="19"/>
  <c r="N10" i="22" s="1"/>
  <c r="N8" i="19"/>
  <c r="N21" i="19" s="1"/>
  <c r="J152" i="17"/>
  <c r="J132" i="8"/>
  <c r="J145" i="17"/>
  <c r="J9" i="22" s="1"/>
  <c r="J8" i="17"/>
  <c r="O152" i="19"/>
  <c r="O145" i="19"/>
  <c r="O10" i="22" s="1"/>
  <c r="O8" i="19"/>
  <c r="O21" i="19" s="1"/>
  <c r="K152" i="19"/>
  <c r="K145" i="19"/>
  <c r="K10" i="22" s="1"/>
  <c r="K8" i="19"/>
  <c r="K21" i="19" s="1"/>
  <c r="N152" i="17"/>
  <c r="N132" i="8"/>
  <c r="N145" i="17"/>
  <c r="N9" i="22" s="1"/>
  <c r="N8" i="17"/>
  <c r="Q152" i="19"/>
  <c r="Q145" i="19"/>
  <c r="Q10" i="22" s="1"/>
  <c r="Q8" i="19"/>
  <c r="Q21" i="19" s="1"/>
  <c r="M132" i="8"/>
  <c r="M152" i="17"/>
  <c r="M145" i="17"/>
  <c r="M9" i="22" s="1"/>
  <c r="M8" i="17"/>
  <c r="L152" i="19"/>
  <c r="L145" i="19"/>
  <c r="L10" i="22" s="1"/>
  <c r="L8" i="19"/>
  <c r="L21" i="19" s="1"/>
  <c r="P152" i="19"/>
  <c r="P145" i="19"/>
  <c r="P10" i="22" s="1"/>
  <c r="P8" i="19"/>
  <c r="P21" i="19" s="1"/>
  <c r="Q132" i="8"/>
  <c r="Q152" i="17"/>
  <c r="Q145" i="17"/>
  <c r="Q9" i="22" s="1"/>
  <c r="Q8" i="17"/>
  <c r="M152" i="19"/>
  <c r="M145" i="19"/>
  <c r="M10" i="22" s="1"/>
  <c r="M8" i="19"/>
  <c r="M21" i="19" s="1"/>
  <c r="L132" i="8"/>
  <c r="L152" i="17"/>
  <c r="L145" i="17"/>
  <c r="L9" i="22" s="1"/>
  <c r="L8" i="17"/>
  <c r="P152" i="17"/>
  <c r="P132" i="8"/>
  <c r="P145" i="17"/>
  <c r="P9" i="22" s="1"/>
  <c r="P8" i="17"/>
  <c r="J23" i="25"/>
  <c r="K22" i="25"/>
  <c r="J22" i="25"/>
  <c r="K23" i="25"/>
  <c r="Q23" i="25"/>
  <c r="L23" i="25"/>
  <c r="Q22" i="25"/>
  <c r="L22" i="25"/>
  <c r="J25" i="26"/>
  <c r="O24" i="26"/>
  <c r="N24" i="26"/>
  <c r="Q25" i="26"/>
  <c r="M24" i="26"/>
  <c r="P24" i="26"/>
  <c r="L24" i="26"/>
  <c r="O22" i="25"/>
  <c r="N23" i="25"/>
  <c r="O23" i="25"/>
  <c r="N22" i="25"/>
  <c r="M22" i="25"/>
  <c r="P23" i="25"/>
  <c r="M23" i="25"/>
  <c r="P22" i="25"/>
  <c r="J24" i="26"/>
  <c r="O25" i="26"/>
  <c r="P25" i="26"/>
  <c r="Q24" i="26"/>
  <c r="K24" i="26"/>
  <c r="N25" i="26"/>
  <c r="L25" i="26"/>
  <c r="K25" i="26"/>
  <c r="M25" i="26"/>
  <c r="L8" i="22" l="1"/>
  <c r="N8" i="22"/>
  <c r="M8" i="22"/>
  <c r="K8" i="22"/>
  <c r="M220" i="26"/>
  <c r="K220" i="26"/>
  <c r="L220" i="26"/>
  <c r="N220" i="26"/>
  <c r="K219" i="26"/>
  <c r="Q219" i="26"/>
  <c r="P220" i="26"/>
  <c r="O220" i="26"/>
  <c r="J219" i="26"/>
  <c r="P29" i="25"/>
  <c r="P217" i="25"/>
  <c r="M218" i="25"/>
  <c r="P218" i="25"/>
  <c r="M29" i="25"/>
  <c r="M217" i="25"/>
  <c r="N29" i="25"/>
  <c r="N217" i="25"/>
  <c r="O218" i="25"/>
  <c r="N218" i="25"/>
  <c r="O29" i="25"/>
  <c r="O217" i="25"/>
  <c r="L219" i="26"/>
  <c r="P219" i="26"/>
  <c r="M219" i="26"/>
  <c r="Q220" i="26"/>
  <c r="N219" i="26"/>
  <c r="O219" i="26"/>
  <c r="J220" i="26"/>
  <c r="L29" i="25"/>
  <c r="L217" i="25"/>
  <c r="Q29" i="25"/>
  <c r="Q217" i="25"/>
  <c r="L218" i="25"/>
  <c r="L233" i="25" s="1"/>
  <c r="Q218" i="25"/>
  <c r="K218" i="25"/>
  <c r="J29" i="25"/>
  <c r="J217" i="25"/>
  <c r="K29" i="25"/>
  <c r="K217" i="25"/>
  <c r="J218" i="25"/>
  <c r="M29" i="19"/>
  <c r="M42" i="19" s="1"/>
  <c r="M165" i="19"/>
  <c r="M23" i="22" s="1"/>
  <c r="K29" i="19"/>
  <c r="K42" i="19" s="1"/>
  <c r="K165" i="19"/>
  <c r="K23" i="22" s="1"/>
  <c r="P8" i="3"/>
  <c r="P21" i="3" s="1"/>
  <c r="P21" i="17"/>
  <c r="P7" i="22" s="1"/>
  <c r="L8" i="3"/>
  <c r="L21" i="3" s="1"/>
  <c r="L21" i="17"/>
  <c r="L7" i="22" s="1"/>
  <c r="L29" i="19"/>
  <c r="L42" i="19" s="1"/>
  <c r="L165" i="19"/>
  <c r="L23" i="22" s="1"/>
  <c r="M145" i="8"/>
  <c r="M8" i="8"/>
  <c r="N8" i="3"/>
  <c r="N21" i="3" s="1"/>
  <c r="N21" i="17"/>
  <c r="N7" i="22" s="1"/>
  <c r="N14" i="22" s="1"/>
  <c r="J145" i="8"/>
  <c r="J8" i="8"/>
  <c r="N29" i="19"/>
  <c r="N42" i="19" s="1"/>
  <c r="N165" i="19"/>
  <c r="N23" i="22" s="1"/>
  <c r="K29" i="17"/>
  <c r="K152" i="8"/>
  <c r="K165" i="17"/>
  <c r="K22" i="22" s="1"/>
  <c r="K234" i="26" s="1"/>
  <c r="O145" i="8"/>
  <c r="O8" i="8"/>
  <c r="P234" i="25"/>
  <c r="M235" i="25"/>
  <c r="P235" i="25"/>
  <c r="M234" i="25"/>
  <c r="N234" i="25"/>
  <c r="O235" i="25"/>
  <c r="N235" i="25"/>
  <c r="O234" i="25"/>
  <c r="P145" i="8"/>
  <c r="P8" i="8"/>
  <c r="Q145" i="8"/>
  <c r="Q8" i="8"/>
  <c r="Q152" i="8"/>
  <c r="Q29" i="17"/>
  <c r="Q165" i="17"/>
  <c r="Q22" i="22" s="1"/>
  <c r="Q234" i="26" s="1"/>
  <c r="P29" i="19"/>
  <c r="P42" i="19" s="1"/>
  <c r="P165" i="19"/>
  <c r="P23" i="22" s="1"/>
  <c r="M8" i="3"/>
  <c r="M21" i="3" s="1"/>
  <c r="M21" i="17"/>
  <c r="M7" i="22" s="1"/>
  <c r="Q8" i="22"/>
  <c r="O29" i="19"/>
  <c r="O42" i="19" s="1"/>
  <c r="O165" i="19"/>
  <c r="O23" i="22" s="1"/>
  <c r="J29" i="17"/>
  <c r="J152" i="8"/>
  <c r="J165" i="17"/>
  <c r="J22" i="22" s="1"/>
  <c r="K8" i="3"/>
  <c r="K21" i="3" s="1"/>
  <c r="K21" i="17"/>
  <c r="K7" i="22" s="1"/>
  <c r="O8" i="3"/>
  <c r="O21" i="3" s="1"/>
  <c r="O21" i="17"/>
  <c r="O7" i="22" s="1"/>
  <c r="J8" i="22"/>
  <c r="N145" i="8"/>
  <c r="N8" i="8"/>
  <c r="J8" i="3"/>
  <c r="J21" i="3" s="1"/>
  <c r="J21" i="17"/>
  <c r="J7" i="22" s="1"/>
  <c r="J14" i="22" s="1"/>
  <c r="L234" i="25"/>
  <c r="Q234" i="25"/>
  <c r="L235" i="25"/>
  <c r="Q235" i="25"/>
  <c r="K235" i="25"/>
  <c r="J234" i="25"/>
  <c r="K234" i="25"/>
  <c r="J235" i="25"/>
  <c r="L152" i="8"/>
  <c r="L29" i="17"/>
  <c r="L165" i="17"/>
  <c r="L22" i="22" s="1"/>
  <c r="P152" i="8"/>
  <c r="P29" i="17"/>
  <c r="P165" i="17"/>
  <c r="P22" i="22" s="1"/>
  <c r="P234" i="26" s="1"/>
  <c r="L145" i="8"/>
  <c r="L8" i="8"/>
  <c r="Q8" i="3"/>
  <c r="Q21" i="3" s="1"/>
  <c r="Q21" i="17"/>
  <c r="Q7" i="22" s="1"/>
  <c r="Q14" i="22" s="1"/>
  <c r="P8" i="22"/>
  <c r="M152" i="8"/>
  <c r="M29" i="17"/>
  <c r="M165" i="17"/>
  <c r="M22" i="22" s="1"/>
  <c r="Q29" i="19"/>
  <c r="Q42" i="19" s="1"/>
  <c r="Q165" i="19"/>
  <c r="Q23" i="22" s="1"/>
  <c r="Q235" i="26" s="1"/>
  <c r="N29" i="17"/>
  <c r="N152" i="8"/>
  <c r="N165" i="17"/>
  <c r="N22" i="22" s="1"/>
  <c r="O8" i="22"/>
  <c r="K145" i="8"/>
  <c r="K8" i="8"/>
  <c r="O152" i="8"/>
  <c r="O29" i="17"/>
  <c r="O165" i="17"/>
  <c r="O22" i="22" s="1"/>
  <c r="J29" i="19"/>
  <c r="J42" i="19" s="1"/>
  <c r="J165" i="19"/>
  <c r="J23" i="22" s="1"/>
  <c r="J235" i="26" s="1"/>
  <c r="M23" i="26"/>
  <c r="L23" i="26"/>
  <c r="K22" i="26"/>
  <c r="P23" i="26"/>
  <c r="J22" i="26"/>
  <c r="P22" i="26"/>
  <c r="Q23" i="26"/>
  <c r="O22" i="26"/>
  <c r="K23" i="26"/>
  <c r="N23" i="26"/>
  <c r="Q22" i="26"/>
  <c r="O23" i="26"/>
  <c r="L22" i="26"/>
  <c r="M22" i="26"/>
  <c r="N22" i="26"/>
  <c r="J23" i="26"/>
  <c r="N234" i="26" l="1"/>
  <c r="L234" i="26"/>
  <c r="K235" i="26"/>
  <c r="M21" i="22"/>
  <c r="Q21" i="22"/>
  <c r="J234" i="26"/>
  <c r="P235" i="26"/>
  <c r="L14" i="22"/>
  <c r="M233" i="25"/>
  <c r="O234" i="26"/>
  <c r="M14" i="22"/>
  <c r="L235" i="26"/>
  <c r="M235" i="26"/>
  <c r="M234" i="26"/>
  <c r="P21" i="22"/>
  <c r="K233" i="25"/>
  <c r="N233" i="25"/>
  <c r="K14" i="22"/>
  <c r="N235" i="26"/>
  <c r="O235" i="26"/>
  <c r="J218" i="26"/>
  <c r="N29" i="26"/>
  <c r="N217" i="26"/>
  <c r="M29" i="26"/>
  <c r="M217" i="26"/>
  <c r="L29" i="26"/>
  <c r="L217" i="26"/>
  <c r="O218" i="26"/>
  <c r="Q29" i="26"/>
  <c r="Q217" i="26"/>
  <c r="N218" i="26"/>
  <c r="K218" i="26"/>
  <c r="O29" i="26"/>
  <c r="O217" i="26"/>
  <c r="Q218" i="26"/>
  <c r="P29" i="26"/>
  <c r="P217" i="26"/>
  <c r="J29" i="26"/>
  <c r="J217" i="26"/>
  <c r="P218" i="26"/>
  <c r="K29" i="26"/>
  <c r="K217" i="26"/>
  <c r="L218" i="26"/>
  <c r="M218" i="26"/>
  <c r="M233" i="26" s="1"/>
  <c r="O29" i="8"/>
  <c r="O165" i="8"/>
  <c r="O14" i="22"/>
  <c r="O21" i="22"/>
  <c r="Q29" i="8"/>
  <c r="Q165" i="8"/>
  <c r="K29" i="8"/>
  <c r="K165" i="8"/>
  <c r="J28" i="3"/>
  <c r="J41" i="3" s="1"/>
  <c r="J8" i="16"/>
  <c r="J21" i="16" s="1"/>
  <c r="J21" i="8"/>
  <c r="M28" i="3"/>
  <c r="M41" i="3" s="1"/>
  <c r="M8" i="16"/>
  <c r="M21" i="16" s="1"/>
  <c r="M21" i="8"/>
  <c r="J233" i="25"/>
  <c r="Q232" i="25"/>
  <c r="Q224" i="25"/>
  <c r="M224" i="25"/>
  <c r="M232" i="25"/>
  <c r="P232" i="25"/>
  <c r="P224" i="25"/>
  <c r="J21" i="22"/>
  <c r="K28" i="3"/>
  <c r="K41" i="3" s="1"/>
  <c r="K8" i="16"/>
  <c r="K21" i="16" s="1"/>
  <c r="K21" i="8"/>
  <c r="N29" i="8"/>
  <c r="N165" i="8"/>
  <c r="L96" i="3"/>
  <c r="L109" i="3" s="1"/>
  <c r="L42" i="17"/>
  <c r="L20" i="22" s="1"/>
  <c r="N28" i="3"/>
  <c r="N41" i="3" s="1"/>
  <c r="N8" i="16"/>
  <c r="N21" i="16" s="1"/>
  <c r="N21" i="8"/>
  <c r="J29" i="8"/>
  <c r="J165" i="8"/>
  <c r="Q28" i="3"/>
  <c r="Q41" i="3" s="1"/>
  <c r="Q8" i="16"/>
  <c r="Q21" i="16" s="1"/>
  <c r="Q21" i="8"/>
  <c r="O8" i="16"/>
  <c r="O21" i="16" s="1"/>
  <c r="O28" i="3"/>
  <c r="O41" i="3" s="1"/>
  <c r="O21" i="8"/>
  <c r="K96" i="3"/>
  <c r="K109" i="3" s="1"/>
  <c r="K42" i="17"/>
  <c r="K20" i="22" s="1"/>
  <c r="K21" i="22"/>
  <c r="K232" i="25"/>
  <c r="K224" i="25"/>
  <c r="O233" i="25"/>
  <c r="N96" i="3"/>
  <c r="N109" i="3" s="1"/>
  <c r="N42" i="17"/>
  <c r="N20" i="22" s="1"/>
  <c r="M96" i="3"/>
  <c r="M109" i="3" s="1"/>
  <c r="M42" i="17"/>
  <c r="M20" i="22" s="1"/>
  <c r="P96" i="3"/>
  <c r="P109" i="3" s="1"/>
  <c r="P42" i="17"/>
  <c r="P20" i="22" s="1"/>
  <c r="L29" i="8"/>
  <c r="L165" i="8"/>
  <c r="J96" i="3"/>
  <c r="J109" i="3" s="1"/>
  <c r="J42" i="17"/>
  <c r="J20" i="22" s="1"/>
  <c r="P14" i="22"/>
  <c r="Q233" i="25"/>
  <c r="L224" i="25"/>
  <c r="L232" i="25"/>
  <c r="L239" i="25" s="1"/>
  <c r="O224" i="25"/>
  <c r="O232" i="25"/>
  <c r="O239" i="25" s="1"/>
  <c r="N224" i="25"/>
  <c r="N232" i="25"/>
  <c r="P233" i="25"/>
  <c r="O96" i="3"/>
  <c r="O109" i="3" s="1"/>
  <c r="O42" i="17"/>
  <c r="O20" i="22" s="1"/>
  <c r="M29" i="8"/>
  <c r="M165" i="8"/>
  <c r="L8" i="16"/>
  <c r="L21" i="16" s="1"/>
  <c r="L28" i="3"/>
  <c r="L41" i="3" s="1"/>
  <c r="L21" i="8"/>
  <c r="P29" i="8"/>
  <c r="P165" i="8"/>
  <c r="Q96" i="3"/>
  <c r="Q109" i="3" s="1"/>
  <c r="Q42" i="17"/>
  <c r="Q20" i="22" s="1"/>
  <c r="P28" i="3"/>
  <c r="P41" i="3" s="1"/>
  <c r="P8" i="16"/>
  <c r="P21" i="16" s="1"/>
  <c r="P21" i="8"/>
  <c r="N21" i="22"/>
  <c r="L21" i="22"/>
  <c r="J232" i="25"/>
  <c r="J224" i="25"/>
  <c r="Q233" i="26" l="1"/>
  <c r="P233" i="26"/>
  <c r="L233" i="26"/>
  <c r="N233" i="26"/>
  <c r="N239" i="25"/>
  <c r="M239" i="25"/>
  <c r="K239" i="25"/>
  <c r="K224" i="26"/>
  <c r="O224" i="26"/>
  <c r="J239" i="25"/>
  <c r="K233" i="26"/>
  <c r="O233" i="26"/>
  <c r="P224" i="26"/>
  <c r="J233" i="26"/>
  <c r="J224" i="26"/>
  <c r="M27" i="22"/>
  <c r="M232" i="26"/>
  <c r="M239" i="26" s="1"/>
  <c r="K27" i="22"/>
  <c r="K232" i="26"/>
  <c r="K239" i="26" s="1"/>
  <c r="K116" i="3"/>
  <c r="K129" i="3" s="1"/>
  <c r="K42" i="8"/>
  <c r="K27" i="16" s="1"/>
  <c r="P116" i="3"/>
  <c r="P129" i="3" s="1"/>
  <c r="P42" i="8"/>
  <c r="P27" i="16" s="1"/>
  <c r="L116" i="3"/>
  <c r="L129" i="3" s="1"/>
  <c r="L42" i="8"/>
  <c r="L27" i="16" s="1"/>
  <c r="N116" i="3"/>
  <c r="N129" i="3" s="1"/>
  <c r="N42" i="8"/>
  <c r="N27" i="16" s="1"/>
  <c r="L224" i="26"/>
  <c r="N224" i="26"/>
  <c r="Q232" i="26"/>
  <c r="Q239" i="26" s="1"/>
  <c r="Q27" i="22"/>
  <c r="M116" i="3"/>
  <c r="M129" i="3" s="1"/>
  <c r="M42" i="8"/>
  <c r="M27" i="16" s="1"/>
  <c r="J232" i="26"/>
  <c r="J239" i="26" s="1"/>
  <c r="J27" i="22"/>
  <c r="P232" i="26"/>
  <c r="P27" i="22"/>
  <c r="N27" i="22"/>
  <c r="N232" i="26"/>
  <c r="J116" i="3"/>
  <c r="J129" i="3" s="1"/>
  <c r="J42" i="8"/>
  <c r="J27" i="16" s="1"/>
  <c r="L27" i="22"/>
  <c r="L232" i="26"/>
  <c r="L239" i="26" s="1"/>
  <c r="Q116" i="3"/>
  <c r="Q129" i="3" s="1"/>
  <c r="Q42" i="8"/>
  <c r="Q27" i="16" s="1"/>
  <c r="Q224" i="26"/>
  <c r="O232" i="26"/>
  <c r="O27" i="22"/>
  <c r="P239" i="25"/>
  <c r="Q239" i="25"/>
  <c r="O116" i="3"/>
  <c r="O129" i="3" s="1"/>
  <c r="O42" i="8"/>
  <c r="O27" i="16" s="1"/>
  <c r="M224" i="26"/>
  <c r="O239" i="26" l="1"/>
  <c r="N239" i="26"/>
  <c r="P239" i="26"/>
</calcChain>
</file>

<file path=xl/sharedStrings.xml><?xml version="1.0" encoding="utf-8"?>
<sst xmlns="http://schemas.openxmlformats.org/spreadsheetml/2006/main" count="5055" uniqueCount="184">
  <si>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</si>
  <si>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</si>
  <si>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</si>
  <si>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</si>
  <si>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</si>
  <si>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</si>
  <si>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</si>
  <si>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</si>
  <si>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</si>
  <si>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</si>
  <si>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</si>
  <si>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Canterbury</t>
  </si>
  <si>
    <t>Otago</t>
  </si>
  <si>
    <t>Southland</t>
  </si>
  <si>
    <t>Million VKTs</t>
  </si>
  <si>
    <t>Converged?</t>
  </si>
  <si>
    <t>Current Multiplier</t>
  </si>
  <si>
    <t>Recommended Multiplier</t>
  </si>
  <si>
    <t>Note: Values in row 24 will always turn to "YES" immediately after the row paste.</t>
  </si>
  <si>
    <t>To converge the model, start by setting row 22 and column J to 1.0's.</t>
  </si>
  <si>
    <t>Desired Total - All Regions</t>
  </si>
  <si>
    <r>
      <t xml:space="preserve">Desired Total - All Vehicles </t>
    </r>
    <r>
      <rPr>
        <sz val="12"/>
        <color rgb="FF000000"/>
        <rFont val="Calibri"/>
        <family val="2"/>
      </rPr>
      <t xml:space="preserve"> </t>
    </r>
  </si>
  <si>
    <t>Actual Total - All Vehicles</t>
  </si>
  <si>
    <t>Actual Total - All Regions</t>
  </si>
  <si>
    <t>Total - All Regions</t>
  </si>
  <si>
    <t>2012/13</t>
  </si>
  <si>
    <t>2017/18</t>
  </si>
  <si>
    <t>2022/23</t>
  </si>
  <si>
    <t>2027/28</t>
  </si>
  <si>
    <t>2032/33</t>
  </si>
  <si>
    <t>2037/38</t>
  </si>
  <si>
    <t>2042/43</t>
  </si>
  <si>
    <t>Projected</t>
  </si>
  <si>
    <t xml:space="preserve">National Freight Demand Study - Billion Tonne-KM </t>
  </si>
  <si>
    <t xml:space="preserve">Projected Public Transport Bus Million Passenger-KM </t>
  </si>
  <si>
    <t xml:space="preserve">Total - Check </t>
  </si>
  <si>
    <t>Assumed Annual Growth Rate:</t>
  </si>
  <si>
    <t>2013/14</t>
  </si>
  <si>
    <t>2014/15</t>
  </si>
  <si>
    <t>Actual</t>
  </si>
  <si>
    <t>Check: Should Be Zero</t>
  </si>
  <si>
    <t>Total Household Light Vehicle Driver Person-KM (Millions)</t>
  </si>
  <si>
    <t>Motorcycle</t>
  </si>
  <si>
    <t>Heavy Truck</t>
  </si>
  <si>
    <t>Heavy Bus</t>
  </si>
  <si>
    <t>Total - All Vehicles</t>
  </si>
  <si>
    <t>Number of Vehicles</t>
  </si>
  <si>
    <t>Vehicle Kilometres Travelled (Millions)</t>
  </si>
  <si>
    <t>All Vehicle Types - Number of Vehicles</t>
  </si>
  <si>
    <t>All Vehicle Types - Vehicle Kilometres Travelled (Millions)</t>
  </si>
  <si>
    <t>Household Light Vehicles - Vehicle Kilometres Travelled (Millions)</t>
  </si>
  <si>
    <t>Heavy Truck - Vehicle Kilometres Travelled (Millions)</t>
  </si>
  <si>
    <t>Heavy Bus - Vehicle Kilometres Travelled (Millions)</t>
  </si>
  <si>
    <t>All Light Vehicles - Number of Vehicles</t>
  </si>
  <si>
    <t>Heavy Truck - Number of Vehicles</t>
  </si>
  <si>
    <t>Heavy Bus - Number of Vehicles</t>
  </si>
  <si>
    <t>Motorcycle - Number of Vehicles</t>
  </si>
  <si>
    <t>Motorcycle - Vehicle Kilometres Travelled (Millions)</t>
  </si>
  <si>
    <t>Household Car+SUV - Vehicle Kilometres Travelled (Millions)</t>
  </si>
  <si>
    <t>Household Van+Ute - Vehicle Kilometres Travelled (Millions)</t>
  </si>
  <si>
    <t>Household Light Vehicles - Number of Vehicles</t>
  </si>
  <si>
    <t>Household Car+SUV - Number of Vehicles</t>
  </si>
  <si>
    <t>Household Van+Ute - Number of Vehicles</t>
  </si>
  <si>
    <t>Household Motorcycles - Vehicle Kilometres Travelled</t>
  </si>
  <si>
    <t>More below</t>
  </si>
  <si>
    <t>Sum of Above--Should be 100%</t>
  </si>
  <si>
    <t>Assumed Growth of Overseas Tourism as Measured by Total Visitor Days</t>
  </si>
  <si>
    <t>Check: 2012/13 Household Light Driver Person-KM/Light Vehicle VKT:</t>
  </si>
  <si>
    <t>2014/15 Fraction Household VKT -- Cars+SUVs:</t>
  </si>
  <si>
    <t>2014/15 Fraction Household VKT--Vans+Utes:</t>
  </si>
  <si>
    <t>2014/15 Fraction Household Vehicles -- Cars+SUVs:</t>
  </si>
  <si>
    <t>2014/15 Fraction Household Vehicles--Vans+Utes:</t>
  </si>
  <si>
    <t>Check: 2012/13 Household Light Vehicles/Light Vehicles:</t>
  </si>
  <si>
    <t>Van+Ute</t>
  </si>
  <si>
    <t>Car+SUV</t>
  </si>
  <si>
    <r>
      <t>Heavy Truck</t>
    </r>
    <r>
      <rPr>
        <sz val="12"/>
        <color rgb="FF000000"/>
        <rFont val="Calibri"/>
        <family val="2"/>
      </rPr>
      <t xml:space="preserve"> </t>
    </r>
  </si>
  <si>
    <r>
      <t>Heavy Bus</t>
    </r>
    <r>
      <rPr>
        <sz val="12"/>
        <color rgb="FF000000"/>
        <rFont val="Calibri"/>
        <family val="2"/>
      </rPr>
      <t xml:space="preserve"> </t>
    </r>
  </si>
  <si>
    <r>
      <t>Motorcycle</t>
    </r>
    <r>
      <rPr>
        <sz val="12"/>
        <color rgb="FF000000"/>
        <rFont val="Calibri"/>
        <family val="2"/>
      </rPr>
      <t xml:space="preserve"> </t>
    </r>
  </si>
  <si>
    <t>NZTA 2014/15 PT Bus Kilometres (1)</t>
  </si>
  <si>
    <t>(1)</t>
  </si>
  <si>
    <t>As per e-mail from Nick Hunter as NZTA to Stuart Badger dated 29 February 2016</t>
  </si>
  <si>
    <t>Estimated 2014/15 All Bus Kilometres</t>
  </si>
  <si>
    <t>Ratio 2014/15 PT Bus to All Bus Kilometres</t>
  </si>
  <si>
    <t xml:space="preserve">http://www.transport.govt.nz/ourwork/tmif/transport-volume/tv020/   </t>
  </si>
  <si>
    <t>(2)</t>
  </si>
  <si>
    <t>NZTA Bus Passenger Boardings 2012/13 (Millions) (2)</t>
  </si>
  <si>
    <t>excludes school services</t>
  </si>
  <si>
    <t>Household Travel Survey 2012/13 PT Bus  Passenger Boardings (Millions) (3)</t>
  </si>
  <si>
    <t>(3)</t>
  </si>
  <si>
    <t>MoT tabulation, includes school services</t>
  </si>
  <si>
    <t>Assumed Fraction of Heavy Bus VKT That Is Public Transport</t>
  </si>
  <si>
    <t>Calculation of Assumed Fraction of Heavy Bus VKT That Is Public Transport</t>
  </si>
  <si>
    <t>Assumed Fraction of Heavy Bus VKT That Is Public Transport w/50% Cap Except in Wellington</t>
  </si>
  <si>
    <t xml:space="preserve">Heavy Truck </t>
  </si>
  <si>
    <t xml:space="preserve">Heavy Bus </t>
  </si>
  <si>
    <t xml:space="preserve">Motorcycle </t>
  </si>
  <si>
    <t>Check - All Regions</t>
  </si>
  <si>
    <t>Region Missing</t>
  </si>
  <si>
    <t>Actual Total + Missing</t>
  </si>
  <si>
    <t>Check - Actual Total + Missing</t>
  </si>
  <si>
    <t>Motorcycle Number of Vehicles Data Reconcilliation</t>
  </si>
  <si>
    <t>Adjustment Factor</t>
  </si>
  <si>
    <t>Bus Number of Vehicles Data Reconcilliation</t>
  </si>
  <si>
    <t>Check - Van + Ute - Vehicle Kilometres Travelled (Millions)</t>
  </si>
  <si>
    <t>Check - Car + SUV - Vehicle Kilometres Travelled (Millions)</t>
  </si>
  <si>
    <t>Household Car+SUV Number of Vehicles Data Reconcilliation</t>
  </si>
  <si>
    <t>Household Van+Ute Number of Vehicles Data Reconcilliation</t>
  </si>
  <si>
    <t>Index of Tonnes per Truckload</t>
  </si>
  <si>
    <t>NA</t>
  </si>
  <si>
    <t>Total Household Taxi/Vehicle Share Person-KM (Millions)</t>
  </si>
  <si>
    <t>Assumed Fraction ofTaxi/Vehicle Share VKT That Is Household:</t>
  </si>
  <si>
    <t>Assumed Fraction ofTaxi/Vehicle Share VKT That Is Tourist:</t>
  </si>
  <si>
    <t>Assumed Fraction ofTaxi/Vehicle Share VKT That Is Commercial:</t>
  </si>
  <si>
    <t>Car+SUV excluding Taxi/Vehicle Share</t>
  </si>
  <si>
    <t>Van+Ute excluding Taxi/Vehicle Share</t>
  </si>
  <si>
    <t>Car+SUV Taxi/Vehicle Share only</t>
  </si>
  <si>
    <t>Van+Ute Taxi/Vehicle Share only</t>
  </si>
  <si>
    <t>Commercially-Owned Light Vehicles Excluding Taxi/Vehicle Share - Vehicle Kilometres Travelled (Millions)</t>
  </si>
  <si>
    <t>Commercially-Owned Light Vehicles Excluding Taxi/Vehicle Share - Number of Vehicles</t>
  </si>
  <si>
    <t>Taxi/Vehicle Share Light Vehicles - Number of Vehicles</t>
  </si>
  <si>
    <t>Taxi/Vehicle Share Light Vehicles - Vehicle Kilometres Travelled (Millions)</t>
  </si>
  <si>
    <t>Commercially-Owned Car+SUV Excluding Taxi/Vehicle Share - Number of Vehicles</t>
  </si>
  <si>
    <t>Taxi/Vehicle Share Car+SUV - Vehicle Kilometres Travelled (Millions)</t>
  </si>
  <si>
    <t>Taxi/Vehicle Share Car+SUV - Number of Vehicles</t>
  </si>
  <si>
    <t>Commercially-Owned Car+SUV Excluding Taxi/Vehicle Share - Vehicle Kilometres Travelled (Millions)</t>
  </si>
  <si>
    <t>Commercially-Owned Van+Ute Excluding Taxi/Vehicle Share - Number of Vehicles</t>
  </si>
  <si>
    <t>Taxi/Vehicle Share Van+Ute - Vehicle Kilometres Travelled (Millions)</t>
  </si>
  <si>
    <t>Taxi/Vehicle Share Van+Ute - Number of Vehicles</t>
  </si>
  <si>
    <t>Commercially-Owned Van+Ute Excluding Taxi/Vehicle Share - Vehicle Kilometres Travelled (Millions)</t>
  </si>
  <si>
    <t>Commercially-Owned Van+Ute Excluding Taxi/Vehicle Share Number of Vehicles Data Reconcilliation</t>
  </si>
  <si>
    <t>Taxi/Vehicle Share Van+Ute Number of Vehicles Data Reconcilliation</t>
  </si>
  <si>
    <t>Commercially-Owned Car+SUV Excluding Taxi/Vehicle Share Number of Vehicles Data Reconcilliation</t>
  </si>
  <si>
    <t>Taxi/Vehicle Share Car+SUV Number of Vehicles Data Reconcilliation</t>
  </si>
  <si>
    <t>All Household Light Vehicles After Diversion to Taxi/Vehicle Sharing - Number of Vehicles</t>
  </si>
  <si>
    <t>Assumed Percentage Share of Household Vehicles in Scenario With No Diversion to Taxi/Vehicle Sharing Diverted in This Scenario</t>
  </si>
  <si>
    <t>Assumed Percentage Share of Commercial Vehicles in Scenario With No Diversion to Taxi/Vehicle Sharing Diverted in This Scenario</t>
  </si>
  <si>
    <t>Commercially-Owned Car+SUV Excluding Taxi/Vehicle Share in Scenario Without Diversion - Vehicle Kilometres Travelled (Millions)</t>
  </si>
  <si>
    <t>Commercially-Owned Van+Ute Excluding Taxi/Vehicle Share in Scenario Without Diversion - Vehicle Kilometres Travelled (Millions)</t>
  </si>
  <si>
    <t>Assume Household Car+SUV occupancy is as per Household Travel Model projection?</t>
  </si>
  <si>
    <t>Assume Household Van+Ute occupancy is as per Household Travel Model projection?</t>
  </si>
  <si>
    <t xml:space="preserve">Assume Taxi/Vehicle Share occupancy is the same as light vehicles in the Household Travel Model </t>
  </si>
  <si>
    <t>Household Light Vehicle Occupancy as per Household Travel Model</t>
  </si>
  <si>
    <t>Check: Should Be Zero If Household Travel Survey Vehicle Occupancies Used</t>
  </si>
  <si>
    <t>Diverted Household Taxi/Vehicle Share Person-KM (Millions)</t>
  </si>
  <si>
    <t>Traditional Taxi Household Taxi/Vehicle Share Person-KM (Millions)</t>
  </si>
  <si>
    <t>Diverted Household Taxi/Vehicle Share Vehicle Kilometres Travelled (Millions)</t>
  </si>
  <si>
    <t>Total Household Light Vehicle Passenger Person-KM (Millions)</t>
  </si>
  <si>
    <t>Actual Taxi/Vehicle Share Occupancy Used in Model</t>
  </si>
  <si>
    <t>Diverted Commercial Taxi/Vehicle Share Car+SUV Vehicle Kilometres Travelled (Millions)</t>
  </si>
  <si>
    <t>Traditional Household Taxi/Vehicle Share Growth in Vehicle Kilometres Travelled (Millions)</t>
  </si>
  <si>
    <t>Traditional Tourist Taxi/Vehicle Share Growth in Vehicle Kilometres Travelled (Millions)</t>
  </si>
  <si>
    <t>Traditional Commercial Taxi/Vehicle Share Growth in Vehicle Kilometres Travelled (Millions)</t>
  </si>
  <si>
    <t>Diverted Commercial Taxi/Vehicle Share Van+Ute Vehicle Kilometres Travelled (Millions)</t>
  </si>
  <si>
    <t>below amounts indicated by the Household Travel Survey, to account for the fact that Household Travel Survey travel by private light vehicles</t>
  </si>
  <si>
    <t>is this amount larger than indicated by vehicle register odometer statistics; this is always done for private light vehicles to assure consistency</t>
  </si>
  <si>
    <t>of VKTs shown here with vehicle register statistics</t>
  </si>
  <si>
    <t>Assumed Taxi/Vehicle Share Occupancy - Not Used Unless Yellow</t>
  </si>
  <si>
    <t>Adjustment Factor for Household Travel Survey VKT Indicating Less than Vehicle Register VKT</t>
  </si>
  <si>
    <t>All Light Vehicles including Taxi/Vehicle Share - Vehicle Kilometres Travelled (Millions)</t>
  </si>
  <si>
    <t>All Light Vehicles - Number of Vehicles including Taxi/Vehicle Share</t>
  </si>
  <si>
    <t>Car+SUV including Taxi/Vehicle Share - Vehicle Kilometres Travelled (Millions)</t>
  </si>
  <si>
    <t>Car+SUV including Taxi/Vehicle Share - Number of Vehicles</t>
  </si>
  <si>
    <t>Van+Ute including Taxi/Vehicle Share - Vehicle Kilometres Travelled (Millions)</t>
  </si>
  <si>
    <t>Van+Ute inlcuding Taxi/Vehicle Share - Number of Vehicles</t>
  </si>
  <si>
    <t>Assumed Household Car+SUV Occupancy - Not Used Unless Yellow</t>
  </si>
  <si>
    <t>Assumed Household Van+Ute Occupancy - Not Used Unless Yellow</t>
  </si>
  <si>
    <t>In estimating household travel diverted from private light vehicles to taxi/vehicle share, reduce the taxi/vehicle share VKTs by an average of  ---&gt;</t>
  </si>
  <si>
    <t>Note: Assumes 0.5% per year growth, as per estimate of Stuart Badger.</t>
  </si>
  <si>
    <t>All Household Light Vehicles in Scenario Without Diversion to Taxi/Vehicle Sharing - Number of Vehicles -  Original Values</t>
  </si>
  <si>
    <t>All Household Light Vehicles in Scenario Without Diversion to Taxi/Vehicle Sharing - Number of Vehicles - Updated Values</t>
  </si>
  <si>
    <t>&lt;-- Enter Region Number Here in N-S Order</t>
  </si>
  <si>
    <t>Total</t>
  </si>
  <si>
    <t>Check: Total Above - Summary (Should Be Zero)</t>
  </si>
  <si>
    <t>This workbook was copied from X:\Transport Outlook\Scenarios\base\Model Results\2018 Model Update\VKT and Vehicle Numbers Model base 20180510.xlsx</t>
  </si>
  <si>
    <t>2047/48</t>
  </si>
  <si>
    <t>2052/53</t>
  </si>
  <si>
    <t>2057/58</t>
  </si>
  <si>
    <t>2015/16</t>
  </si>
  <si>
    <t>2016/17</t>
  </si>
  <si>
    <r>
      <t xml:space="preserve">Desired Total - All Vehicles </t>
    </r>
    <r>
      <rPr>
        <b/>
        <sz val="12"/>
        <color rgb="FF000000"/>
        <rFont val="Calibri"/>
        <family val="2"/>
      </rPr>
      <t xml:space="preserve"> (1)</t>
    </r>
  </si>
  <si>
    <t>(1) See e-mail from Amin Kianpisheh at NZTA to Ralph Samuelson dated 30 January 2019</t>
  </si>
  <si>
    <r>
      <t>Then successively copy and paste special the</t>
    </r>
    <r>
      <rPr>
        <b/>
        <i/>
        <sz val="10"/>
        <color theme="1"/>
        <rFont val="Arial"/>
        <family val="2"/>
      </rPr>
      <t xml:space="preserve"> values</t>
    </r>
    <r>
      <rPr>
        <i/>
        <sz val="10"/>
        <color theme="1"/>
        <rFont val="Arial"/>
        <family val="2"/>
      </rPr>
      <t xml:space="preserve"> (not the formulas!) in row 23 into row 22 and</t>
    </r>
    <r>
      <rPr>
        <b/>
        <i/>
        <sz val="10"/>
        <color theme="1"/>
        <rFont val="Arial"/>
        <family val="2"/>
      </rPr>
      <t xml:space="preserve"> values</t>
    </r>
    <r>
      <rPr>
        <i/>
        <sz val="10"/>
        <color theme="1"/>
        <rFont val="Arial"/>
        <family val="2"/>
      </rPr>
      <t xml:space="preserve"> in column k into column j until all values in row 24 turn to "YES" after the column paste.</t>
    </r>
  </si>
  <si>
    <t xml:space="preserve">Actual </t>
  </si>
  <si>
    <t>The workbook was further copied from X:\Transport Outlook\Version 2 Models\Base\VKT and Vehicle Numbers Model Version 2 base 20190207 on 21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</si>
</sst>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"/>
    <numFmt numFmtId="165" formatCode="0.0%"/>
    <numFmt numFmtId="166" formatCode="#,##0.0"/>
    <numFmt numFmtId="167" formatCode="0.0"/>
  </numFmts>
  <fonts count="10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  <xf numFmtId="164" fontId="0" fillId="0" borderId="5" xfId="0" applyNumberFormat="1" applyBorder="1"/>
    <xf numFmtId="164" fontId="0" fillId="0" borderId="6" xfId="0" applyNumberFormat="1" applyBorder="1"/>
    <xf numFmtId="164" fontId="0" fillId="0" borderId="0" xfId="0" applyNumberFormat="1"/>
    <xf numFmtId="0" fontId="5" fillId="0" borderId="0" xfId="0" applyFont="1"/>
    <xf numFmtId="0" fontId="1" fillId="2" borderId="7" xfId="0" applyFont="1" applyFill="1" applyBorder="1"/>
    <xf numFmtId="164" fontId="0" fillId="0" borderId="7" xfId="0" applyNumberFormat="1" applyBorder="1"/>
    <xf numFmtId="0" fontId="0" fillId="0" borderId="7" xfId="0" applyBorder="1"/>
    <xf numFmtId="164" fontId="0" fillId="0" borderId="8" xfId="0" applyNumberFormat="1" applyBorder="1"/>
    <xf numFmtId="0" fontId="0" fillId="0" borderId="8" xfId="0" applyBorder="1"/>
    <xf numFmtId="164" fontId="0" fillId="0" borderId="9" xfId="0" applyNumberFormat="1" applyBorder="1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0" xfId="0" applyFont="1"/>
    <xf numFmtId="0" fontId="1" fillId="2" borderId="4" xfId="0" applyFont="1" applyFill="1" applyBorder="1" applyAlignment="1">
      <alignment wrapText="1"/>
    </xf>
    <xf numFmtId="164" fontId="0" fillId="0" borderId="13" xfId="0" applyNumberFormat="1" applyBorder="1"/>
    <xf numFmtId="0" fontId="2" fillId="0" borderId="8" xfId="0" applyFont="1" applyBorder="1" applyAlignment="1">
      <alignment horizontal="left" vertical="top" wrapText="1" readingOrder="1"/>
    </xf>
    <xf numFmtId="0" fontId="1" fillId="2" borderId="14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5" xfId="0" applyFont="1" applyFill="1" applyBorder="1"/>
    <xf numFmtId="0" fontId="1" fillId="2" borderId="12" xfId="0" applyFont="1" applyFill="1" applyBorder="1"/>
    <xf numFmtId="164" fontId="0" fillId="0" borderId="16" xfId="0" applyNumberFormat="1" applyBorder="1"/>
    <xf numFmtId="164" fontId="0" fillId="0" borderId="17" xfId="0" applyNumberFormat="1" applyBorder="1"/>
    <xf numFmtId="0" fontId="2" fillId="0" borderId="7" xfId="0" applyFont="1" applyBorder="1" applyAlignment="1">
      <alignment horizontal="left" vertical="top" wrapText="1" readingOrder="1"/>
    </xf>
    <xf numFmtId="0" fontId="1" fillId="2" borderId="7" xfId="0" applyFont="1" applyFill="1" applyBorder="1" applyAlignment="1">
      <alignment wrapText="1"/>
    </xf>
    <xf numFmtId="0" fontId="1" fillId="0" borderId="11" xfId="0" applyFont="1" applyBorder="1"/>
    <xf numFmtId="0" fontId="4" fillId="0" borderId="19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0" fillId="0" borderId="11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12" xfId="0" applyNumberFormat="1" applyBorder="1"/>
    <xf numFmtId="3" fontId="0" fillId="0" borderId="0" xfId="0" applyNumberFormat="1" applyBorder="1"/>
    <xf numFmtId="3" fontId="0" fillId="0" borderId="17" xfId="0" applyNumberFormat="1" applyBorder="1"/>
    <xf numFmtId="3" fontId="0" fillId="0" borderId="21" xfId="0" applyNumberFormat="1" applyBorder="1"/>
    <xf numFmtId="3" fontId="0" fillId="0" borderId="18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0" fontId="1" fillId="2" borderId="0" xfId="0" applyFont="1" applyFill="1" applyBorder="1"/>
    <xf numFmtId="165" fontId="0" fillId="0" borderId="0" xfId="0" applyNumberFormat="1"/>
    <xf numFmtId="166" fontId="0" fillId="0" borderId="11" xfId="0" applyNumberFormat="1" applyBorder="1"/>
    <xf numFmtId="166" fontId="0" fillId="0" borderId="19" xfId="0" applyNumberFormat="1" applyBorder="1"/>
    <xf numFmtId="166" fontId="0" fillId="0" borderId="20" xfId="0" applyNumberFormat="1" applyBorder="1"/>
    <xf numFmtId="166" fontId="0" fillId="0" borderId="12" xfId="0" applyNumberFormat="1" applyBorder="1"/>
    <xf numFmtId="166" fontId="0" fillId="0" borderId="0" xfId="0" applyNumberFormat="1" applyBorder="1"/>
    <xf numFmtId="166" fontId="0" fillId="0" borderId="17" xfId="0" applyNumberFormat="1" applyBorder="1"/>
    <xf numFmtId="166" fontId="0" fillId="0" borderId="21" xfId="0" applyNumberFormat="1" applyBorder="1"/>
    <xf numFmtId="166" fontId="0" fillId="0" borderId="18" xfId="0" applyNumberFormat="1" applyBorder="1"/>
    <xf numFmtId="166" fontId="0" fillId="0" borderId="22" xfId="0" applyNumberFormat="1" applyBorder="1"/>
    <xf numFmtId="166" fontId="0" fillId="0" borderId="13" xfId="0" applyNumberFormat="1" applyBorder="1"/>
    <xf numFmtId="166" fontId="0" fillId="0" borderId="23" xfId="0" applyNumberFormat="1" applyBorder="1"/>
    <xf numFmtId="166" fontId="0" fillId="0" borderId="24" xfId="0" applyNumberFormat="1" applyBorder="1"/>
    <xf numFmtId="0" fontId="1" fillId="2" borderId="25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5" fontId="0" fillId="0" borderId="11" xfId="0" applyNumberFormat="1" applyBorder="1"/>
    <xf numFmtId="165" fontId="0" fillId="0" borderId="19" xfId="0" applyNumberFormat="1" applyBorder="1"/>
    <xf numFmtId="165" fontId="0" fillId="0" borderId="20" xfId="0" applyNumberFormat="1" applyBorder="1"/>
    <xf numFmtId="0" fontId="0" fillId="0" borderId="25" xfId="0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ill="1" applyBorder="1"/>
    <xf numFmtId="9" fontId="0" fillId="0" borderId="7" xfId="0" applyNumberFormat="1" applyBorder="1"/>
    <xf numFmtId="3" fontId="0" fillId="0" borderId="25" xfId="0" applyNumberFormat="1" applyBorder="1"/>
    <xf numFmtId="2" fontId="0" fillId="0" borderId="21" xfId="0" applyNumberFormat="1" applyBorder="1"/>
    <xf numFmtId="2" fontId="0" fillId="0" borderId="18" xfId="0" applyNumberFormat="1" applyBorder="1"/>
    <xf numFmtId="2" fontId="0" fillId="0" borderId="22" xfId="0" applyNumberFormat="1" applyBorder="1"/>
    <xf numFmtId="2" fontId="0" fillId="0" borderId="11" xfId="0" applyNumberFormat="1" applyBorder="1"/>
    <xf numFmtId="2" fontId="0" fillId="0" borderId="19" xfId="0" applyNumberFormat="1" applyBorder="1"/>
    <xf numFmtId="2" fontId="0" fillId="0" borderId="12" xfId="0" applyNumberFormat="1" applyBorder="1"/>
    <xf numFmtId="2" fontId="0" fillId="0" borderId="0" xfId="0" applyNumberFormat="1" applyBorder="1"/>
    <xf numFmtId="2" fontId="0" fillId="0" borderId="13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167" fontId="0" fillId="0" borderId="11" xfId="0" applyNumberFormat="1" applyBorder="1"/>
    <xf numFmtId="167" fontId="0" fillId="0" borderId="19" xfId="0" applyNumberFormat="1" applyBorder="1"/>
    <xf numFmtId="167" fontId="0" fillId="0" borderId="20" xfId="0" applyNumberFormat="1" applyBorder="1"/>
    <xf numFmtId="167" fontId="0" fillId="0" borderId="12" xfId="0" applyNumberFormat="1" applyBorder="1"/>
    <xf numFmtId="167" fontId="0" fillId="0" borderId="0" xfId="0" applyNumberFormat="1" applyBorder="1"/>
    <xf numFmtId="167" fontId="0" fillId="0" borderId="21" xfId="0" applyNumberFormat="1" applyBorder="1"/>
    <xf numFmtId="167" fontId="0" fillId="0" borderId="18" xfId="0" applyNumberFormat="1" applyBorder="1"/>
    <xf numFmtId="167" fontId="0" fillId="0" borderId="13" xfId="0" applyNumberFormat="1" applyBorder="1"/>
    <xf numFmtId="167" fontId="0" fillId="0" borderId="23" xfId="0" applyNumberFormat="1" applyBorder="1"/>
    <xf numFmtId="167" fontId="0" fillId="0" borderId="24" xfId="0" applyNumberFormat="1" applyBorder="1"/>
    <xf numFmtId="167" fontId="0" fillId="0" borderId="26" xfId="0" applyNumberFormat="1" applyBorder="1"/>
    <xf numFmtId="0" fontId="4" fillId="0" borderId="20" xfId="0" applyFont="1" applyBorder="1" applyAlignment="1">
      <alignment horizontal="center"/>
    </xf>
    <xf numFmtId="1" fontId="0" fillId="0" borderId="0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22" xfId="0" applyNumberFormat="1" applyBorder="1"/>
    <xf numFmtId="1" fontId="0" fillId="0" borderId="23" xfId="0" applyNumberFormat="1" applyBorder="1"/>
    <xf numFmtId="1" fontId="0" fillId="0" borderId="24" xfId="0" applyNumberFormat="1" applyBorder="1"/>
    <xf numFmtId="1" fontId="0" fillId="0" borderId="25" xfId="0" applyNumberFormat="1" applyBorder="1"/>
    <xf numFmtId="0" fontId="0" fillId="0" borderId="0" xfId="0" quotePrefix="1"/>
    <xf numFmtId="0" fontId="8" fillId="0" borderId="0" xfId="2" applyAlignment="1" applyProtection="1"/>
    <xf numFmtId="0" fontId="0" fillId="0" borderId="18" xfId="0" applyBorder="1"/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43" fontId="0" fillId="0" borderId="0" xfId="1" applyFont="1"/>
    <xf numFmtId="0" fontId="1" fillId="0" borderId="25" xfId="0" applyFont="1" applyBorder="1"/>
    <xf numFmtId="0" fontId="0" fillId="0" borderId="23" xfId="0" applyBorder="1"/>
    <xf numFmtId="0" fontId="0" fillId="0" borderId="24" xfId="0" applyBorder="1"/>
    <xf numFmtId="43" fontId="0" fillId="0" borderId="23" xfId="1" applyFont="1" applyBorder="1"/>
    <xf numFmtId="43" fontId="0" fillId="0" borderId="24" xfId="1" applyFont="1" applyBorder="1"/>
    <xf numFmtId="9" fontId="0" fillId="0" borderId="0" xfId="0" applyNumberFormat="1" applyBorder="1"/>
    <xf numFmtId="9" fontId="0" fillId="0" borderId="19" xfId="0" applyNumberFormat="1" applyBorder="1"/>
    <xf numFmtId="0" fontId="0" fillId="0" borderId="22" xfId="0" applyBorder="1"/>
    <xf numFmtId="9" fontId="4" fillId="0" borderId="20" xfId="0" applyNumberFormat="1" applyFont="1" applyBorder="1"/>
    <xf numFmtId="9" fontId="4" fillId="0" borderId="17" xfId="0" applyNumberFormat="1" applyFont="1" applyBorder="1"/>
    <xf numFmtId="0" fontId="0" fillId="0" borderId="0" xfId="0" applyBorder="1"/>
    <xf numFmtId="0" fontId="4" fillId="0" borderId="25" xfId="0" applyFont="1" applyBorder="1" applyAlignment="1">
      <alignment horizontal="center"/>
    </xf>
    <xf numFmtId="0" fontId="1" fillId="2" borderId="9" xfId="0" applyFont="1" applyFill="1" applyBorder="1" applyAlignment="1">
      <alignment wrapText="1"/>
    </xf>
    <xf numFmtId="4" fontId="0" fillId="0" borderId="25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0" fontId="4" fillId="0" borderId="20" xfId="0" applyFont="1" applyBorder="1"/>
    <xf numFmtId="0" fontId="1" fillId="0" borderId="0" xfId="0" applyFont="1" applyFill="1" applyBorder="1"/>
    <xf numFmtId="166" fontId="0" fillId="0" borderId="19" xfId="0" applyNumberFormat="1" applyFill="1" applyBorder="1"/>
    <xf numFmtId="0" fontId="1" fillId="0" borderId="19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" fontId="0" fillId="0" borderId="0" xfId="0" applyNumberFormat="1"/>
    <xf numFmtId="166" fontId="0" fillId="0" borderId="25" xfId="0" applyNumberFormat="1" applyBorder="1"/>
    <xf numFmtId="0" fontId="2" fillId="0" borderId="27" xfId="0" applyFont="1" applyBorder="1" applyAlignment="1">
      <alignment horizontal="left" vertical="top" wrapText="1" readingOrder="1"/>
    </xf>
    <xf numFmtId="164" fontId="0" fillId="0" borderId="11" xfId="0" applyNumberFormat="1" applyBorder="1"/>
    <xf numFmtId="164" fontId="0" fillId="0" borderId="12" xfId="0" applyNumberFormat="1" applyBorder="1"/>
    <xf numFmtId="164" fontId="0" fillId="0" borderId="21" xfId="0" applyNumberFormat="1" applyBorder="1"/>
    <xf numFmtId="164" fontId="0" fillId="0" borderId="25" xfId="0" applyNumberFormat="1" applyBorder="1"/>
    <xf numFmtId="0" fontId="2" fillId="0" borderId="28" xfId="0" applyFont="1" applyBorder="1" applyAlignment="1">
      <alignment horizontal="left" vertical="top" wrapText="1" readingOrder="1"/>
    </xf>
    <xf numFmtId="164" fontId="0" fillId="0" borderId="20" xfId="0" applyNumberFormat="1" applyBorder="1"/>
    <xf numFmtId="164" fontId="0" fillId="0" borderId="22" xfId="0" applyNumberFormat="1" applyBorder="1"/>
    <xf numFmtId="164" fontId="0" fillId="0" borderId="29" xfId="0" applyNumberFormat="1" applyBorder="1"/>
    <xf numFmtId="164" fontId="0" fillId="0" borderId="24" xfId="0" applyNumberFormat="1" applyBorder="1"/>
    <xf numFmtId="0" fontId="1" fillId="2" borderId="25" xfId="0" applyFont="1" applyFill="1" applyBorder="1"/>
    <xf numFmtId="3" fontId="0" fillId="0" borderId="0" xfId="0" applyNumberFormat="1"/>
    <xf numFmtId="4" fontId="0" fillId="3" borderId="23" xfId="0" applyNumberFormat="1" applyFill="1" applyBorder="1"/>
    <xf numFmtId="4" fontId="0" fillId="3" borderId="24" xfId="0" applyNumberFormat="1" applyFill="1" applyBorder="1"/>
    <xf numFmtId="9" fontId="0" fillId="3" borderId="7" xfId="0" applyNumberFormat="1" applyFill="1" applyBorder="1"/>
    <xf numFmtId="165" fontId="0" fillId="0" borderId="12" xfId="0" applyNumberFormat="1" applyBorder="1"/>
    <xf numFmtId="165" fontId="0" fillId="0" borderId="0" xfId="0" applyNumberFormat="1" applyBorder="1"/>
    <xf numFmtId="165" fontId="0" fillId="0" borderId="21" xfId="0" applyNumberFormat="1" applyBorder="1"/>
    <xf numFmtId="165" fontId="0" fillId="0" borderId="18" xfId="0" applyNumberFormat="1" applyBorder="1"/>
    <xf numFmtId="4" fontId="0" fillId="0" borderId="11" xfId="0" applyNumberFormat="1" applyBorder="1"/>
    <xf numFmtId="0" fontId="1" fillId="0" borderId="19" xfId="0" applyFont="1" applyFill="1" applyBorder="1"/>
    <xf numFmtId="4" fontId="0" fillId="0" borderId="19" xfId="0" applyNumberFormat="1" applyFill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12" xfId="0" applyNumberFormat="1" applyBorder="1"/>
    <xf numFmtId="4" fontId="0" fillId="0" borderId="0" xfId="0" applyNumberFormat="1" applyBorder="1"/>
    <xf numFmtId="4" fontId="0" fillId="0" borderId="17" xfId="0" applyNumberFormat="1" applyBorder="1"/>
    <xf numFmtId="4" fontId="0" fillId="0" borderId="21" xfId="0" applyNumberFormat="1" applyBorder="1"/>
    <xf numFmtId="4" fontId="0" fillId="0" borderId="18" xfId="0" applyNumberFormat="1" applyBorder="1"/>
    <xf numFmtId="4" fontId="0" fillId="0" borderId="22" xfId="0" applyNumberFormat="1" applyBorder="1"/>
    <xf numFmtId="2" fontId="0" fillId="0" borderId="19" xfId="0" applyNumberFormat="1" applyFill="1" applyBorder="1"/>
    <xf numFmtId="2" fontId="0" fillId="0" borderId="0" xfId="0" applyNumberFormat="1" applyFill="1" applyBorder="1"/>
    <xf numFmtId="2" fontId="0" fillId="0" borderId="18" xfId="0" applyNumberFormat="1" applyFill="1" applyBorder="1"/>
    <xf numFmtId="166" fontId="0" fillId="0" borderId="0" xfId="0" applyNumberFormat="1" applyFill="1" applyBorder="1"/>
    <xf numFmtId="0" fontId="4" fillId="0" borderId="0" xfId="0" applyFont="1" applyFill="1" applyBorder="1" applyAlignment="1">
      <alignment horizontal="center"/>
    </xf>
    <xf numFmtId="165" fontId="0" fillId="0" borderId="0" xfId="0" applyNumberFormat="1" applyFill="1" applyBorder="1"/>
    <xf numFmtId="0" fontId="1" fillId="0" borderId="18" xfId="0" applyFont="1" applyFill="1" applyBorder="1"/>
    <xf numFmtId="166" fontId="0" fillId="0" borderId="18" xfId="0" applyNumberFormat="1" applyFill="1" applyBorder="1"/>
    <xf numFmtId="166" fontId="0" fillId="0" borderId="0" xfId="0" applyNumberFormat="1"/>
    <xf numFmtId="167" fontId="0" fillId="0" borderId="19" xfId="0" applyNumberFormat="1" applyFill="1" applyBorder="1"/>
    <xf numFmtId="0" fontId="0" fillId="3" borderId="0" xfId="0" applyFill="1"/>
    <xf numFmtId="0" fontId="4" fillId="0" borderId="12" xfId="0" applyFont="1" applyBorder="1" applyAlignment="1">
      <alignment horizontal="center"/>
    </xf>
    <xf numFmtId="0" fontId="0" fillId="0" borderId="0" xfId="0" applyFill="1"/>
    <xf numFmtId="165" fontId="4" fillId="0" borderId="0" xfId="0" applyNumberFormat="1" applyFont="1" applyAlignment="1">
      <alignment horizontal="left"/>
    </xf>
    <xf numFmtId="165" fontId="0" fillId="0" borderId="19" xfId="0" applyNumberFormat="1" applyFill="1" applyBorder="1"/>
    <xf numFmtId="165" fontId="0" fillId="0" borderId="18" xfId="0" applyNumberFormat="1" applyFill="1" applyBorder="1"/>
    <xf numFmtId="0" fontId="1" fillId="0" borderId="0" xfId="0" applyFont="1" applyBorder="1"/>
    <xf numFmtId="0" fontId="4" fillId="0" borderId="0" xfId="0" applyFont="1" applyBorder="1"/>
    <xf numFmtId="0" fontId="4" fillId="0" borderId="7" xfId="0" applyFont="1" applyBorder="1"/>
    <xf numFmtId="3" fontId="4" fillId="0" borderId="19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3" xfId="0" applyNumberFormat="1" applyBorder="1"/>
    <xf numFmtId="3" fontId="4" fillId="0" borderId="7" xfId="0" applyNumberFormat="1" applyFont="1" applyBorder="1"/>
    <xf numFmtId="0" fontId="0" fillId="0" borderId="0" xfId="0" applyAlignment="1">
      <alignment horizontal="left" indent="13"/>
    </xf>
    <xf numFmtId="165" fontId="0" fillId="0" borderId="17" xfId="0" applyNumberFormat="1" applyBorder="1"/>
    <xf numFmtId="165" fontId="0" fillId="0" borderId="22" xfId="0" applyNumberFormat="1" applyBorder="1"/>
    <xf numFmtId="3" fontId="0" fillId="0" borderId="17" xfId="0" applyNumberFormat="1" applyBorder="1" applyAlignment="1">
      <alignment horizontal="right"/>
    </xf>
    <xf numFmtId="0" fontId="4" fillId="0" borderId="19" xfId="0" applyFont="1" applyBorder="1"/>
    <xf numFmtId="1" fontId="0" fillId="0" borderId="20" xfId="0" applyNumberFormat="1" applyBorder="1"/>
    <xf numFmtId="166" fontId="0" fillId="0" borderId="20" xfId="0" applyNumberFormat="1" applyFill="1" applyBorder="1"/>
    <xf numFmtId="166" fontId="0" fillId="0" borderId="17" xfId="0" applyNumberFormat="1" applyFill="1" applyBorder="1"/>
    <xf numFmtId="166" fontId="0" fillId="0" borderId="22" xfId="0" applyNumberFormat="1" applyFill="1" applyBorder="1"/>
    <xf numFmtId="166" fontId="0" fillId="0" borderId="23" xfId="0" applyNumberFormat="1" applyFill="1" applyBorder="1"/>
    <xf numFmtId="166" fontId="0" fillId="0" borderId="24" xfId="0" applyNumberFormat="1" applyFill="1" applyBorder="1"/>
    <xf numFmtId="3" fontId="0" fillId="0" borderId="0" xfId="0" applyNumberFormat="1" applyFill="1" applyBorder="1"/>
    <xf numFmtId="3" fontId="0" fillId="0" borderId="18" xfId="0" applyNumberFormat="1" applyFill="1" applyBorder="1"/>
    <xf numFmtId="4" fontId="0" fillId="0" borderId="20" xfId="0" applyNumberFormat="1" applyFill="1" applyBorder="1"/>
    <xf numFmtId="4" fontId="0" fillId="0" borderId="0" xfId="0" applyNumberFormat="1" applyFill="1" applyBorder="1"/>
    <xf numFmtId="4" fontId="0" fillId="0" borderId="17" xfId="0" applyNumberFormat="1" applyFill="1" applyBorder="1"/>
    <xf numFmtId="4" fontId="0" fillId="0" borderId="18" xfId="0" applyNumberFormat="1" applyFill="1" applyBorder="1"/>
    <xf numFmtId="4" fontId="0" fillId="0" borderId="22" xfId="0" applyNumberFormat="1" applyFill="1" applyBorder="1"/>
    <xf numFmtId="3" fontId="0" fillId="0" borderId="19" xfId="0" applyNumberFormat="1" applyFill="1" applyBorder="1"/>
    <xf numFmtId="1" fontId="0" fillId="0" borderId="19" xfId="0" applyNumberFormat="1" applyBorder="1"/>
    <xf numFmtId="0" fontId="1" fillId="0" borderId="12" xfId="0" applyFont="1" applyFill="1" applyBorder="1"/>
    <xf numFmtId="0" fontId="1" fillId="0" borderId="21" xfId="0" applyFont="1" applyFill="1" applyBorder="1"/>
    <xf numFmtId="0" fontId="1" fillId="0" borderId="23" xfId="0" applyFont="1" applyFill="1" applyBorder="1" applyAlignment="1">
      <alignment wrapText="1"/>
    </xf>
    <xf numFmtId="165" fontId="0" fillId="0" borderId="24" xfId="0" applyNumberFormat="1" applyFont="1" applyBorder="1"/>
    <xf numFmtId="0" fontId="1" fillId="0" borderId="11" xfId="0" applyFont="1" applyFill="1" applyBorder="1"/>
    <xf numFmtId="0" fontId="1" fillId="0" borderId="25" xfId="0" applyFont="1" applyBorder="1" applyAlignment="1">
      <alignment wrapText="1"/>
    </xf>
    <xf numFmtId="0" fontId="0" fillId="0" borderId="23" xfId="0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9" xfId="0" applyBorder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externalLink" Target="externalLinks/externalLink1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314325</xdr:colOff>
      <xdr:row>42</xdr:row>
      <xdr:rowOff>0</xdr:rowOff>
    </xdr:from>
    <xdr:to>
      <xdr:col>23</xdr:col>
      <xdr:colOff>314325</xdr:colOff>
      <xdr:row>43</xdr:row>
      <xdr:rowOff>152400</xdr:rowOff>
    </xdr:to>
    <xdr:cxnSp macro="">
      <xdr:nvCxnSpPr>
        <xdr:cNvPr id="2" name="Straight Arrow Connector 1"/>
        <xdr:cNvCxnSpPr/>
      </xdr:nvCxnSpPr>
      <xdr:spPr>
        <a:xfrm>
          <a:off x="14716125" y="8039100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266700</xdr:colOff>
      <xdr:row>42</xdr:row>
      <xdr:rowOff>0</xdr:rowOff>
    </xdr:from>
    <xdr:to>
      <xdr:col>19</xdr:col>
      <xdr:colOff>266700</xdr:colOff>
      <xdr:row>43</xdr:row>
      <xdr:rowOff>152400</xdr:rowOff>
    </xdr:to>
    <xdr:cxnSp macro="">
      <xdr:nvCxnSpPr>
        <xdr:cNvPr id="3" name="Straight Arrow Connector 2"/>
        <xdr:cNvCxnSpPr/>
      </xdr:nvCxnSpPr>
      <xdr:spPr>
        <a:xfrm>
          <a:off x="17106900" y="8258175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266700</xdr:colOff>
      <xdr:row>42</xdr:row>
      <xdr:rowOff>0</xdr:rowOff>
    </xdr:from>
    <xdr:to>
      <xdr:col>19</xdr:col>
      <xdr:colOff>266700</xdr:colOff>
      <xdr:row>43</xdr:row>
      <xdr:rowOff>152400</xdr:rowOff>
    </xdr:to>
    <xdr:cxnSp macro="">
      <xdr:nvCxnSpPr>
        <xdr:cNvPr id="2" name="Straight Arrow Connector 1"/>
        <xdr:cNvCxnSpPr/>
      </xdr:nvCxnSpPr>
      <xdr:spPr>
        <a:xfrm>
          <a:off x="14668500" y="8039100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2/Fleets/12_13%20flee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opulation%20and%20GDP%20Updated%20Version%202%20Metr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opulation%20and%20GDP%20metr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vehicle_summary_tables%20metro%20201609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Road%20Freight%20TonneKM%20by%20Region%20Version%202%20Metro%20201812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2/Fleets/13_14%20fle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2/Fleets/14_15%20fle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KT%20and%20Vehicle%20Numbers%20Modelling/15_16%20fleet%20VFEM_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3/Fleets/16_17%20fleet_v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3/Fleets/17_18%20fleet_v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KT%20and%20Vehicle%20Numbers%20Modelling/RAMM%20Data%20by%20Region%202018102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trip_summary_region_postprocess%20Version%202%20Metro%20201812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vehicle_summary_region_tables%20metro%20201609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_13 fleet"/>
    </sheetNames>
    <sheetDataSet>
      <sheetData sheetId="0">
        <row r="8">
          <cell r="D8">
            <v>114</v>
          </cell>
        </row>
        <row r="9">
          <cell r="D9">
            <v>351</v>
          </cell>
        </row>
        <row r="10">
          <cell r="D10">
            <v>2015</v>
          </cell>
        </row>
        <row r="11">
          <cell r="D11">
            <v>536</v>
          </cell>
        </row>
        <row r="12">
          <cell r="D12">
            <v>539</v>
          </cell>
        </row>
        <row r="13">
          <cell r="D13">
            <v>71</v>
          </cell>
        </row>
        <row r="14">
          <cell r="D14">
            <v>259</v>
          </cell>
        </row>
        <row r="15">
          <cell r="D15">
            <v>104</v>
          </cell>
        </row>
        <row r="16">
          <cell r="D16">
            <v>320</v>
          </cell>
        </row>
        <row r="17">
          <cell r="D17">
            <v>666</v>
          </cell>
        </row>
        <row r="18">
          <cell r="D18">
            <v>236</v>
          </cell>
        </row>
        <row r="19">
          <cell r="D19">
            <v>91</v>
          </cell>
        </row>
        <row r="20">
          <cell r="D20">
            <v>1208</v>
          </cell>
        </row>
        <row r="21">
          <cell r="D21">
            <v>473</v>
          </cell>
        </row>
        <row r="22">
          <cell r="D22">
            <v>300</v>
          </cell>
        </row>
        <row r="23">
          <cell r="D23">
            <v>47</v>
          </cell>
        </row>
        <row r="24">
          <cell r="D24">
            <v>104</v>
          </cell>
        </row>
        <row r="25">
          <cell r="D25">
            <v>243</v>
          </cell>
        </row>
        <row r="26">
          <cell r="D26">
            <v>182</v>
          </cell>
        </row>
        <row r="27">
          <cell r="D27">
            <v>167</v>
          </cell>
        </row>
        <row r="28">
          <cell r="D28">
            <v>28</v>
          </cell>
        </row>
        <row r="29">
          <cell r="D29">
            <v>56</v>
          </cell>
        </row>
        <row r="30">
          <cell r="D30">
            <v>75</v>
          </cell>
        </row>
        <row r="31">
          <cell r="D31">
            <v>104</v>
          </cell>
        </row>
        <row r="32">
          <cell r="D32">
            <v>47</v>
          </cell>
        </row>
        <row r="33">
          <cell r="D33">
            <v>79</v>
          </cell>
        </row>
        <row r="34">
          <cell r="D34">
            <v>43</v>
          </cell>
        </row>
        <row r="35">
          <cell r="D35">
            <v>350</v>
          </cell>
        </row>
        <row r="36">
          <cell r="D36">
            <v>86</v>
          </cell>
        </row>
        <row r="37">
          <cell r="D37">
            <v>80</v>
          </cell>
        </row>
        <row r="38">
          <cell r="D38">
            <v>1</v>
          </cell>
        </row>
        <row r="39">
          <cell r="D39">
            <v>46</v>
          </cell>
        </row>
        <row r="40">
          <cell r="D40">
            <v>521</v>
          </cell>
        </row>
        <row r="41">
          <cell r="D41">
            <v>160</v>
          </cell>
        </row>
        <row r="42">
          <cell r="D42">
            <v>119</v>
          </cell>
        </row>
        <row r="43">
          <cell r="D43">
            <v>5</v>
          </cell>
        </row>
        <row r="44">
          <cell r="D44">
            <v>49</v>
          </cell>
        </row>
        <row r="45">
          <cell r="D45">
            <v>18</v>
          </cell>
        </row>
        <row r="46">
          <cell r="D46">
            <v>38</v>
          </cell>
        </row>
        <row r="47">
          <cell r="D47">
            <v>142</v>
          </cell>
        </row>
        <row r="48">
          <cell r="D48">
            <v>54</v>
          </cell>
        </row>
        <row r="49">
          <cell r="D49">
            <v>18</v>
          </cell>
        </row>
        <row r="50">
          <cell r="D50">
            <v>259</v>
          </cell>
        </row>
        <row r="51">
          <cell r="D51">
            <v>161</v>
          </cell>
        </row>
        <row r="52">
          <cell r="D52">
            <v>30</v>
          </cell>
        </row>
        <row r="53">
          <cell r="D53">
            <v>1</v>
          </cell>
        </row>
        <row r="54">
          <cell r="D54">
            <v>77</v>
          </cell>
        </row>
        <row r="55">
          <cell r="D55">
            <v>3068</v>
          </cell>
        </row>
        <row r="56">
          <cell r="D56">
            <v>182</v>
          </cell>
        </row>
        <row r="57">
          <cell r="D57">
            <v>197</v>
          </cell>
        </row>
        <row r="58">
          <cell r="D58">
            <v>36</v>
          </cell>
        </row>
        <row r="59">
          <cell r="D59">
            <v>124</v>
          </cell>
        </row>
        <row r="60">
          <cell r="D60">
            <v>65</v>
          </cell>
        </row>
        <row r="61">
          <cell r="D61">
            <v>118</v>
          </cell>
        </row>
        <row r="62">
          <cell r="D62">
            <v>1164</v>
          </cell>
        </row>
        <row r="63">
          <cell r="D63">
            <v>112</v>
          </cell>
        </row>
        <row r="64">
          <cell r="D64">
            <v>11</v>
          </cell>
        </row>
        <row r="65">
          <cell r="D65">
            <v>654</v>
          </cell>
        </row>
        <row r="66">
          <cell r="D66">
            <v>317</v>
          </cell>
        </row>
        <row r="67">
          <cell r="D67">
            <v>66</v>
          </cell>
        </row>
        <row r="68">
          <cell r="D68">
            <v>293</v>
          </cell>
        </row>
        <row r="69">
          <cell r="D69">
            <v>7061</v>
          </cell>
        </row>
        <row r="70">
          <cell r="D70">
            <v>110571</v>
          </cell>
        </row>
        <row r="71">
          <cell r="D71">
            <v>23370</v>
          </cell>
        </row>
        <row r="72">
          <cell r="D72">
            <v>17278</v>
          </cell>
        </row>
        <row r="73">
          <cell r="D73">
            <v>1781</v>
          </cell>
        </row>
        <row r="74">
          <cell r="D74">
            <v>8433</v>
          </cell>
        </row>
        <row r="75">
          <cell r="D75">
            <v>5336</v>
          </cell>
        </row>
        <row r="76">
          <cell r="D76">
            <v>11554</v>
          </cell>
        </row>
        <row r="77">
          <cell r="D77">
            <v>25024</v>
          </cell>
        </row>
        <row r="78">
          <cell r="D78">
            <v>9654</v>
          </cell>
        </row>
        <row r="79">
          <cell r="D79">
            <v>1776</v>
          </cell>
        </row>
        <row r="80">
          <cell r="D80">
            <v>45401</v>
          </cell>
        </row>
        <row r="81">
          <cell r="D81">
            <v>12828</v>
          </cell>
        </row>
        <row r="82">
          <cell r="D82">
            <v>5194</v>
          </cell>
        </row>
        <row r="83">
          <cell r="D83">
            <v>11221</v>
          </cell>
        </row>
        <row r="84">
          <cell r="D84">
            <v>84138</v>
          </cell>
        </row>
        <row r="85">
          <cell r="D85">
            <v>786563</v>
          </cell>
        </row>
        <row r="86">
          <cell r="D86">
            <v>228927</v>
          </cell>
        </row>
        <row r="87">
          <cell r="D87">
            <v>172318</v>
          </cell>
        </row>
        <row r="88">
          <cell r="D88">
            <v>21206</v>
          </cell>
        </row>
        <row r="89">
          <cell r="D89">
            <v>84757</v>
          </cell>
        </row>
        <row r="90">
          <cell r="D90">
            <v>63736</v>
          </cell>
        </row>
        <row r="91">
          <cell r="D91">
            <v>126973</v>
          </cell>
        </row>
        <row r="92">
          <cell r="D92">
            <v>242478</v>
          </cell>
        </row>
        <row r="93">
          <cell r="D93">
            <v>88059</v>
          </cell>
        </row>
        <row r="94">
          <cell r="D94">
            <v>18321</v>
          </cell>
        </row>
        <row r="95">
          <cell r="D95">
            <v>369174</v>
          </cell>
        </row>
        <row r="96">
          <cell r="D96">
            <v>110232</v>
          </cell>
        </row>
        <row r="97">
          <cell r="D97">
            <v>60587</v>
          </cell>
        </row>
        <row r="98">
          <cell r="D98">
            <v>209</v>
          </cell>
        </row>
        <row r="99">
          <cell r="D99">
            <v>105</v>
          </cell>
        </row>
        <row r="100">
          <cell r="D100">
            <v>1585</v>
          </cell>
        </row>
        <row r="101">
          <cell r="D101">
            <v>489</v>
          </cell>
        </row>
        <row r="102">
          <cell r="D102">
            <v>383</v>
          </cell>
        </row>
        <row r="103">
          <cell r="D103">
            <v>45</v>
          </cell>
        </row>
        <row r="104">
          <cell r="D104">
            <v>163</v>
          </cell>
        </row>
        <row r="105">
          <cell r="D105">
            <v>206</v>
          </cell>
        </row>
        <row r="106">
          <cell r="D106">
            <v>353</v>
          </cell>
        </row>
        <row r="107">
          <cell r="D107">
            <v>624</v>
          </cell>
        </row>
        <row r="108">
          <cell r="D108">
            <v>261</v>
          </cell>
        </row>
        <row r="109">
          <cell r="D109">
            <v>46</v>
          </cell>
        </row>
        <row r="110">
          <cell r="D110">
            <v>878</v>
          </cell>
        </row>
        <row r="111">
          <cell r="D111">
            <v>306</v>
          </cell>
        </row>
        <row r="112">
          <cell r="D112">
            <v>147</v>
          </cell>
        </row>
        <row r="113">
          <cell r="D113">
            <v>5792</v>
          </cell>
        </row>
        <row r="114">
          <cell r="D114">
            <v>3854</v>
          </cell>
        </row>
        <row r="115">
          <cell r="D115">
            <v>30417</v>
          </cell>
        </row>
        <row r="116">
          <cell r="D116">
            <v>12148</v>
          </cell>
        </row>
        <row r="117">
          <cell r="D117">
            <v>9722</v>
          </cell>
        </row>
        <row r="118">
          <cell r="D118">
            <v>1171</v>
          </cell>
        </row>
        <row r="119">
          <cell r="D119">
            <v>4487</v>
          </cell>
        </row>
        <row r="120">
          <cell r="D120">
            <v>4993</v>
          </cell>
        </row>
        <row r="121">
          <cell r="D121">
            <v>8527</v>
          </cell>
        </row>
        <row r="122">
          <cell r="D122">
            <v>14964</v>
          </cell>
        </row>
        <row r="123">
          <cell r="D123">
            <v>7473</v>
          </cell>
        </row>
        <row r="124">
          <cell r="D124">
            <v>1695</v>
          </cell>
        </row>
        <row r="125">
          <cell r="D125">
            <v>22313</v>
          </cell>
        </row>
        <row r="126">
          <cell r="D126">
            <v>6781</v>
          </cell>
        </row>
        <row r="127">
          <cell r="D127">
            <v>3811</v>
          </cell>
        </row>
        <row r="128">
          <cell r="D128">
            <v>6335</v>
          </cell>
        </row>
        <row r="129">
          <cell r="D129">
            <v>3025</v>
          </cell>
        </row>
        <row r="130">
          <cell r="D130">
            <v>20288</v>
          </cell>
        </row>
        <row r="131">
          <cell r="D131">
            <v>8085</v>
          </cell>
        </row>
        <row r="132">
          <cell r="D132">
            <v>6368</v>
          </cell>
        </row>
        <row r="133">
          <cell r="D133">
            <v>926</v>
          </cell>
        </row>
        <row r="134">
          <cell r="D134">
            <v>3050</v>
          </cell>
        </row>
        <row r="135">
          <cell r="D135">
            <v>2432</v>
          </cell>
        </row>
        <row r="136">
          <cell r="D136">
            <v>4865</v>
          </cell>
        </row>
        <row r="137">
          <cell r="D137">
            <v>4872</v>
          </cell>
        </row>
        <row r="138">
          <cell r="D138">
            <v>3185</v>
          </cell>
        </row>
        <row r="139">
          <cell r="D139">
            <v>970</v>
          </cell>
        </row>
        <row r="140">
          <cell r="D140">
            <v>14111</v>
          </cell>
        </row>
        <row r="141">
          <cell r="D141">
            <v>3661</v>
          </cell>
        </row>
        <row r="142">
          <cell r="D142">
            <v>2559</v>
          </cell>
        </row>
        <row r="143">
          <cell r="D143">
            <v>3661</v>
          </cell>
        </row>
        <row r="144">
          <cell r="D144">
            <v>3302</v>
          </cell>
        </row>
        <row r="145">
          <cell r="D145">
            <v>8992</v>
          </cell>
        </row>
        <row r="146">
          <cell r="D146">
            <v>7377</v>
          </cell>
        </row>
        <row r="147">
          <cell r="D147">
            <v>4984</v>
          </cell>
        </row>
        <row r="148">
          <cell r="D148">
            <v>855</v>
          </cell>
        </row>
        <row r="149">
          <cell r="D149">
            <v>2335</v>
          </cell>
        </row>
        <row r="150">
          <cell r="D150">
            <v>2280</v>
          </cell>
        </row>
        <row r="151">
          <cell r="D151">
            <v>4220</v>
          </cell>
        </row>
        <row r="152">
          <cell r="D152">
            <v>2767</v>
          </cell>
        </row>
        <row r="153">
          <cell r="D153">
            <v>3269</v>
          </cell>
        </row>
        <row r="154">
          <cell r="D154">
            <v>742</v>
          </cell>
        </row>
        <row r="155">
          <cell r="D155">
            <v>9497</v>
          </cell>
        </row>
        <row r="156">
          <cell r="D156">
            <v>2698</v>
          </cell>
        </row>
        <row r="157">
          <cell r="D157">
            <v>2137</v>
          </cell>
        </row>
        <row r="158">
          <cell r="D158">
            <v>0</v>
          </cell>
        </row>
        <row r="159">
          <cell r="D159">
            <v>57</v>
          </cell>
        </row>
        <row r="160">
          <cell r="D160">
            <v>268</v>
          </cell>
        </row>
        <row r="161">
          <cell r="D161">
            <v>169</v>
          </cell>
        </row>
        <row r="162">
          <cell r="D162">
            <v>135</v>
          </cell>
        </row>
        <row r="163">
          <cell r="D163">
            <v>6</v>
          </cell>
        </row>
        <row r="164">
          <cell r="D164">
            <v>44</v>
          </cell>
        </row>
        <row r="165">
          <cell r="D165">
            <v>23</v>
          </cell>
        </row>
        <row r="166">
          <cell r="D166">
            <v>68</v>
          </cell>
        </row>
        <row r="167">
          <cell r="D167">
            <v>61</v>
          </cell>
        </row>
        <row r="168">
          <cell r="D168">
            <v>53</v>
          </cell>
        </row>
        <row r="169">
          <cell r="D169">
            <v>37</v>
          </cell>
        </row>
        <row r="170">
          <cell r="D170">
            <v>250</v>
          </cell>
        </row>
        <row r="171">
          <cell r="D171">
            <v>182</v>
          </cell>
        </row>
        <row r="172">
          <cell r="D172">
            <v>69</v>
          </cell>
        </row>
        <row r="173">
          <cell r="D173">
            <v>0</v>
          </cell>
        </row>
        <row r="174">
          <cell r="D174">
            <v>22</v>
          </cell>
        </row>
        <row r="175">
          <cell r="D175">
            <v>396</v>
          </cell>
        </row>
        <row r="176">
          <cell r="D176">
            <v>42</v>
          </cell>
        </row>
        <row r="177">
          <cell r="D177">
            <v>68</v>
          </cell>
        </row>
        <row r="178">
          <cell r="D178">
            <v>11</v>
          </cell>
        </row>
        <row r="179">
          <cell r="D179">
            <v>28</v>
          </cell>
        </row>
        <row r="180">
          <cell r="D180">
            <v>9</v>
          </cell>
        </row>
        <row r="181">
          <cell r="D181">
            <v>34</v>
          </cell>
        </row>
        <row r="182">
          <cell r="D182">
            <v>83</v>
          </cell>
        </row>
        <row r="183">
          <cell r="D183">
            <v>41</v>
          </cell>
        </row>
        <row r="184">
          <cell r="D184">
            <v>14</v>
          </cell>
        </row>
        <row r="185">
          <cell r="D185">
            <v>122</v>
          </cell>
        </row>
        <row r="186">
          <cell r="D186">
            <v>112</v>
          </cell>
        </row>
        <row r="187">
          <cell r="D187">
            <v>29</v>
          </cell>
        </row>
        <row r="188">
          <cell r="D188">
            <v>134</v>
          </cell>
        </row>
        <row r="189">
          <cell r="D189">
            <v>5944</v>
          </cell>
        </row>
        <row r="190">
          <cell r="D190">
            <v>43388</v>
          </cell>
        </row>
        <row r="191">
          <cell r="D191">
            <v>16522</v>
          </cell>
        </row>
        <row r="192">
          <cell r="D192">
            <v>13539</v>
          </cell>
        </row>
        <row r="193">
          <cell r="D193">
            <v>2090</v>
          </cell>
        </row>
        <row r="194">
          <cell r="D194">
            <v>6565</v>
          </cell>
        </row>
        <row r="195">
          <cell r="D195">
            <v>4418</v>
          </cell>
        </row>
        <row r="196">
          <cell r="D196">
            <v>8547</v>
          </cell>
        </row>
        <row r="197">
          <cell r="D197">
            <v>13193</v>
          </cell>
        </row>
        <row r="198">
          <cell r="D198">
            <v>7231</v>
          </cell>
        </row>
        <row r="199">
          <cell r="D199">
            <v>2026</v>
          </cell>
        </row>
        <row r="200">
          <cell r="D200">
            <v>28632</v>
          </cell>
        </row>
        <row r="201">
          <cell r="D201">
            <v>8393</v>
          </cell>
        </row>
        <row r="202">
          <cell r="D202">
            <v>4989</v>
          </cell>
        </row>
        <row r="203">
          <cell r="D203">
            <v>1984</v>
          </cell>
        </row>
        <row r="204">
          <cell r="D204">
            <v>14901</v>
          </cell>
        </row>
        <row r="205">
          <cell r="D205">
            <v>46704</v>
          </cell>
        </row>
        <row r="206">
          <cell r="D206">
            <v>30654</v>
          </cell>
        </row>
        <row r="207">
          <cell r="D207">
            <v>24552</v>
          </cell>
        </row>
        <row r="208">
          <cell r="D208">
            <v>4667</v>
          </cell>
        </row>
        <row r="209">
          <cell r="D209">
            <v>12764</v>
          </cell>
        </row>
        <row r="210">
          <cell r="D210">
            <v>9675</v>
          </cell>
        </row>
        <row r="211">
          <cell r="D211">
            <v>19545</v>
          </cell>
        </row>
        <row r="212">
          <cell r="D212">
            <v>19067</v>
          </cell>
        </row>
        <row r="213">
          <cell r="D213">
            <v>15308</v>
          </cell>
        </row>
        <row r="214">
          <cell r="D214">
            <v>3953</v>
          </cell>
        </row>
        <row r="215">
          <cell r="D215">
            <v>40233</v>
          </cell>
        </row>
        <row r="216">
          <cell r="D216">
            <v>14433</v>
          </cell>
        </row>
        <row r="217">
          <cell r="D217">
            <v>11279</v>
          </cell>
        </row>
        <row r="226">
          <cell r="D226">
            <v>5685760.4100000001</v>
          </cell>
        </row>
        <row r="227">
          <cell r="D227">
            <v>7848471.8099999996</v>
          </cell>
        </row>
        <row r="228">
          <cell r="D228">
            <v>81168326.439999998</v>
          </cell>
        </row>
        <row r="229">
          <cell r="D229">
            <v>12941796.98</v>
          </cell>
        </row>
        <row r="230">
          <cell r="D230">
            <v>13166583.68</v>
          </cell>
        </row>
        <row r="231">
          <cell r="D231">
            <v>1019445.59</v>
          </cell>
        </row>
        <row r="232">
          <cell r="D232">
            <v>4633212.38</v>
          </cell>
        </row>
        <row r="233">
          <cell r="D233">
            <v>2136875.87</v>
          </cell>
        </row>
        <row r="234">
          <cell r="D234">
            <v>5989132.8600000003</v>
          </cell>
        </row>
        <row r="235">
          <cell r="D235">
            <v>22038328.48</v>
          </cell>
        </row>
        <row r="236">
          <cell r="D236">
            <v>5157174.26</v>
          </cell>
        </row>
        <row r="237">
          <cell r="D237">
            <v>1658506.46</v>
          </cell>
        </row>
        <row r="238">
          <cell r="D238">
            <v>39856031.25</v>
          </cell>
        </row>
        <row r="239">
          <cell r="D239">
            <v>14136593.859999999</v>
          </cell>
        </row>
        <row r="240">
          <cell r="D240">
            <v>6266223.0300000003</v>
          </cell>
        </row>
        <row r="241">
          <cell r="D241">
            <v>25676.720000000001</v>
          </cell>
        </row>
        <row r="242">
          <cell r="D242">
            <v>1134292.23</v>
          </cell>
        </row>
        <row r="243">
          <cell r="D243">
            <v>3973239.85</v>
          </cell>
        </row>
        <row r="244">
          <cell r="D244">
            <v>2531951.38</v>
          </cell>
        </row>
        <row r="245">
          <cell r="D245">
            <v>1986430.39</v>
          </cell>
        </row>
        <row r="246">
          <cell r="D246">
            <v>398727.1</v>
          </cell>
        </row>
        <row r="247">
          <cell r="D247">
            <v>396802.06</v>
          </cell>
        </row>
        <row r="248">
          <cell r="D248">
            <v>1114290.02</v>
          </cell>
        </row>
        <row r="249">
          <cell r="D249">
            <v>1112250.56</v>
          </cell>
        </row>
        <row r="250">
          <cell r="D250">
            <v>529910.18000000005</v>
          </cell>
        </row>
        <row r="251">
          <cell r="D251">
            <v>905550.92</v>
          </cell>
        </row>
        <row r="252">
          <cell r="D252">
            <v>786585.49</v>
          </cell>
        </row>
        <row r="253">
          <cell r="D253">
            <v>4718191.53</v>
          </cell>
        </row>
        <row r="254">
          <cell r="D254">
            <v>956366.17</v>
          </cell>
        </row>
        <row r="255">
          <cell r="D255">
            <v>980884.82</v>
          </cell>
        </row>
        <row r="256">
          <cell r="D256">
            <v>0</v>
          </cell>
        </row>
        <row r="257">
          <cell r="D257">
            <v>1509247</v>
          </cell>
        </row>
        <row r="258">
          <cell r="D258">
            <v>15140425.1</v>
          </cell>
        </row>
        <row r="259">
          <cell r="D259">
            <v>4236510.6500000004</v>
          </cell>
        </row>
        <row r="260">
          <cell r="D260">
            <v>2834442.79</v>
          </cell>
        </row>
        <row r="261">
          <cell r="D261">
            <v>69219.520000000004</v>
          </cell>
        </row>
        <row r="262">
          <cell r="D262">
            <v>1077298.75</v>
          </cell>
        </row>
        <row r="263">
          <cell r="D263">
            <v>609368.05000000005</v>
          </cell>
        </row>
        <row r="264">
          <cell r="D264">
            <v>908539.27</v>
          </cell>
        </row>
        <row r="265">
          <cell r="D265">
            <v>4346187.97</v>
          </cell>
        </row>
        <row r="266">
          <cell r="D266">
            <v>1072871.31</v>
          </cell>
        </row>
        <row r="267">
          <cell r="D267">
            <v>356433.56</v>
          </cell>
        </row>
        <row r="268">
          <cell r="D268">
            <v>7394090.1600000001</v>
          </cell>
        </row>
        <row r="269">
          <cell r="D269">
            <v>4369836.58</v>
          </cell>
        </row>
        <row r="270">
          <cell r="D270">
            <v>407618.56</v>
          </cell>
        </row>
        <row r="271">
          <cell r="D271">
            <v>0</v>
          </cell>
        </row>
        <row r="272">
          <cell r="D272">
            <v>2674113.91</v>
          </cell>
        </row>
        <row r="273">
          <cell r="D273">
            <v>113968393.63</v>
          </cell>
        </row>
        <row r="274">
          <cell r="D274">
            <v>6247760.6500000004</v>
          </cell>
        </row>
        <row r="275">
          <cell r="D275">
            <v>6427113.3399999999</v>
          </cell>
        </row>
        <row r="276">
          <cell r="D276">
            <v>931832.69</v>
          </cell>
        </row>
        <row r="277">
          <cell r="D277">
            <v>3787611.25</v>
          </cell>
        </row>
        <row r="278">
          <cell r="D278">
            <v>2504880.2200000002</v>
          </cell>
        </row>
        <row r="279">
          <cell r="D279">
            <v>4264630.38</v>
          </cell>
        </row>
        <row r="280">
          <cell r="D280">
            <v>46292764.229999997</v>
          </cell>
        </row>
        <row r="281">
          <cell r="D281">
            <v>3394418.59</v>
          </cell>
        </row>
        <row r="282">
          <cell r="D282">
            <v>445624.45</v>
          </cell>
        </row>
        <row r="283">
          <cell r="D283">
            <v>20396374.489999998</v>
          </cell>
        </row>
        <row r="284">
          <cell r="D284">
            <v>10392349.289999999</v>
          </cell>
        </row>
        <row r="285">
          <cell r="D285">
            <v>2017096</v>
          </cell>
        </row>
        <row r="286">
          <cell r="D286">
            <v>781792.55</v>
          </cell>
        </row>
        <row r="287">
          <cell r="D287">
            <v>134174310.23999999</v>
          </cell>
        </row>
        <row r="288">
          <cell r="D288">
            <v>1830535535.1900001</v>
          </cell>
        </row>
        <row r="289">
          <cell r="D289">
            <v>450834402.19</v>
          </cell>
        </row>
        <row r="290">
          <cell r="D290">
            <v>323619580.36000001</v>
          </cell>
        </row>
        <row r="291">
          <cell r="D291">
            <v>26319102.870000001</v>
          </cell>
        </row>
        <row r="292">
          <cell r="D292">
            <v>138814911.25</v>
          </cell>
        </row>
        <row r="293">
          <cell r="D293">
            <v>88737869.049999997</v>
          </cell>
        </row>
        <row r="294">
          <cell r="D294">
            <v>197354701.61000001</v>
          </cell>
        </row>
        <row r="295">
          <cell r="D295">
            <v>421592272.56999999</v>
          </cell>
        </row>
        <row r="296">
          <cell r="D296">
            <v>140309346.78</v>
          </cell>
        </row>
        <row r="297">
          <cell r="D297">
            <v>32892664.719999999</v>
          </cell>
        </row>
        <row r="298">
          <cell r="D298">
            <v>780188222.34000003</v>
          </cell>
        </row>
        <row r="299">
          <cell r="D299">
            <v>229806353.11000001</v>
          </cell>
        </row>
        <row r="300">
          <cell r="D300">
            <v>91451602</v>
          </cell>
        </row>
        <row r="301">
          <cell r="D301">
            <v>448312.62</v>
          </cell>
        </row>
        <row r="302">
          <cell r="D302">
            <v>957811314.77999997</v>
          </cell>
        </row>
        <row r="303">
          <cell r="D303">
            <v>8417825889.8299999</v>
          </cell>
        </row>
        <row r="304">
          <cell r="D304">
            <v>2646601275.1199999</v>
          </cell>
        </row>
        <row r="305">
          <cell r="D305">
            <v>1901723288.48</v>
          </cell>
        </row>
        <row r="306">
          <cell r="D306">
            <v>205201433.69</v>
          </cell>
        </row>
        <row r="307">
          <cell r="D307">
            <v>866879139.61000001</v>
          </cell>
        </row>
        <row r="308">
          <cell r="D308">
            <v>664879612.57000005</v>
          </cell>
        </row>
        <row r="309">
          <cell r="D309">
            <v>1310668406.05</v>
          </cell>
        </row>
        <row r="310">
          <cell r="D310">
            <v>2519819692.8200002</v>
          </cell>
        </row>
        <row r="311">
          <cell r="D311">
            <v>787259193.21000004</v>
          </cell>
        </row>
        <row r="312">
          <cell r="D312">
            <v>188371159.03999999</v>
          </cell>
        </row>
        <row r="313">
          <cell r="D313">
            <v>3589695292.25</v>
          </cell>
        </row>
        <row r="314">
          <cell r="D314">
            <v>1057357491.11</v>
          </cell>
        </row>
        <row r="315">
          <cell r="D315">
            <v>606488124.41999996</v>
          </cell>
        </row>
        <row r="316">
          <cell r="D316">
            <v>3361268.06</v>
          </cell>
        </row>
        <row r="317">
          <cell r="D317">
            <v>396226.62</v>
          </cell>
        </row>
        <row r="318">
          <cell r="D318">
            <v>6660942.8700000001</v>
          </cell>
        </row>
        <row r="319">
          <cell r="D319">
            <v>1967242.7</v>
          </cell>
        </row>
        <row r="320">
          <cell r="D320">
            <v>1579017.29</v>
          </cell>
        </row>
        <row r="321">
          <cell r="D321">
            <v>104856.4</v>
          </cell>
        </row>
        <row r="322">
          <cell r="D322">
            <v>637570.22</v>
          </cell>
        </row>
        <row r="323">
          <cell r="D323">
            <v>562463.56999999995</v>
          </cell>
        </row>
        <row r="324">
          <cell r="D324">
            <v>1236609.8600000001</v>
          </cell>
        </row>
        <row r="325">
          <cell r="D325">
            <v>2407475.8199999998</v>
          </cell>
        </row>
        <row r="326">
          <cell r="D326">
            <v>626435.71</v>
          </cell>
        </row>
        <row r="327">
          <cell r="D327">
            <v>159007.16</v>
          </cell>
        </row>
        <row r="328">
          <cell r="D328">
            <v>4470226.33</v>
          </cell>
        </row>
        <row r="329">
          <cell r="D329">
            <v>902216.87</v>
          </cell>
        </row>
        <row r="330">
          <cell r="D330">
            <v>340157.68</v>
          </cell>
        </row>
        <row r="331">
          <cell r="D331">
            <v>16246102</v>
          </cell>
        </row>
        <row r="332">
          <cell r="D332">
            <v>10641550.85</v>
          </cell>
        </row>
        <row r="333">
          <cell r="D333">
            <v>88238509.219999999</v>
          </cell>
        </row>
        <row r="334">
          <cell r="D334">
            <v>33833844.890000001</v>
          </cell>
        </row>
        <row r="335">
          <cell r="D335">
            <v>27232381.640000001</v>
          </cell>
        </row>
        <row r="336">
          <cell r="D336">
            <v>2443242.5</v>
          </cell>
        </row>
        <row r="337">
          <cell r="D337">
            <v>11800602.210000001</v>
          </cell>
        </row>
        <row r="338">
          <cell r="D338">
            <v>11777136.710000001</v>
          </cell>
        </row>
        <row r="339">
          <cell r="D339">
            <v>20958494.710000001</v>
          </cell>
        </row>
        <row r="340">
          <cell r="D340">
            <v>42248511.75</v>
          </cell>
        </row>
        <row r="341">
          <cell r="D341">
            <v>18155011.760000002</v>
          </cell>
        </row>
        <row r="342">
          <cell r="D342">
            <v>3994561.36</v>
          </cell>
        </row>
        <row r="343">
          <cell r="D343">
            <v>50643771.5</v>
          </cell>
        </row>
        <row r="344">
          <cell r="D344">
            <v>14560872.98</v>
          </cell>
        </row>
        <row r="345">
          <cell r="D345">
            <v>7191735.5599999996</v>
          </cell>
        </row>
        <row r="346">
          <cell r="D346">
            <v>19121998.850000001</v>
          </cell>
        </row>
        <row r="347">
          <cell r="D347">
            <v>88312441.709999993</v>
          </cell>
        </row>
        <row r="348">
          <cell r="D348">
            <v>544063441.79999995</v>
          </cell>
        </row>
        <row r="349">
          <cell r="D349">
            <v>213646050.21000001</v>
          </cell>
        </row>
        <row r="350">
          <cell r="D350">
            <v>208403691.16</v>
          </cell>
        </row>
        <row r="351">
          <cell r="D351">
            <v>24392035.050000001</v>
          </cell>
        </row>
        <row r="352">
          <cell r="D352">
            <v>83300150.980000004</v>
          </cell>
        </row>
        <row r="353">
          <cell r="D353">
            <v>68595732.090000004</v>
          </cell>
        </row>
        <row r="354">
          <cell r="D354">
            <v>131869267.95</v>
          </cell>
        </row>
        <row r="355">
          <cell r="D355">
            <v>111319130.44</v>
          </cell>
        </row>
        <row r="356">
          <cell r="D356">
            <v>79184296.359999999</v>
          </cell>
        </row>
        <row r="357">
          <cell r="D357">
            <v>25731989.760000002</v>
          </cell>
        </row>
        <row r="358">
          <cell r="D358">
            <v>346834174.13</v>
          </cell>
        </row>
        <row r="359">
          <cell r="D359">
            <v>91122421.25</v>
          </cell>
        </row>
        <row r="360">
          <cell r="D360">
            <v>73623092.209999993</v>
          </cell>
        </row>
        <row r="361">
          <cell r="D361">
            <v>15759400.199999999</v>
          </cell>
        </row>
        <row r="362">
          <cell r="D362">
            <v>30942785.530000001</v>
          </cell>
        </row>
        <row r="363">
          <cell r="D363">
            <v>112146403.44</v>
          </cell>
        </row>
        <row r="364">
          <cell r="D364">
            <v>61863352.509999998</v>
          </cell>
        </row>
        <row r="365">
          <cell r="D365">
            <v>42228123.640000001</v>
          </cell>
        </row>
        <row r="366">
          <cell r="D366">
            <v>8046296.7300000004</v>
          </cell>
        </row>
        <row r="367">
          <cell r="D367">
            <v>19129484.920000002</v>
          </cell>
        </row>
        <row r="368">
          <cell r="D368">
            <v>18792659.390000001</v>
          </cell>
        </row>
        <row r="369">
          <cell r="D369">
            <v>38222843.850000001</v>
          </cell>
        </row>
        <row r="370">
          <cell r="D370">
            <v>27846579.77</v>
          </cell>
        </row>
        <row r="371">
          <cell r="D371">
            <v>22397280.920000002</v>
          </cell>
        </row>
        <row r="372">
          <cell r="D372">
            <v>4462503.55</v>
          </cell>
        </row>
        <row r="373">
          <cell r="D373">
            <v>76709629.849999994</v>
          </cell>
        </row>
        <row r="374">
          <cell r="D374">
            <v>20206993.460000001</v>
          </cell>
        </row>
        <row r="375">
          <cell r="D375">
            <v>17304171.199999999</v>
          </cell>
        </row>
        <row r="376">
          <cell r="D376">
            <v>0</v>
          </cell>
        </row>
        <row r="377">
          <cell r="D377">
            <v>1323281.22</v>
          </cell>
        </row>
        <row r="378">
          <cell r="D378">
            <v>9485263.5</v>
          </cell>
        </row>
        <row r="379">
          <cell r="D379">
            <v>4344348.41</v>
          </cell>
        </row>
        <row r="380">
          <cell r="D380">
            <v>3532371.41</v>
          </cell>
        </row>
        <row r="381">
          <cell r="D381">
            <v>110140.88</v>
          </cell>
        </row>
        <row r="382">
          <cell r="D382">
            <v>1088607.0900000001</v>
          </cell>
        </row>
        <row r="383">
          <cell r="D383">
            <v>553230.64</v>
          </cell>
        </row>
        <row r="384">
          <cell r="D384">
            <v>1529283.88</v>
          </cell>
        </row>
        <row r="385">
          <cell r="D385">
            <v>2385016.33</v>
          </cell>
        </row>
        <row r="386">
          <cell r="D386">
            <v>1088503.55</v>
          </cell>
        </row>
        <row r="387">
          <cell r="D387">
            <v>603106.88</v>
          </cell>
        </row>
        <row r="388">
          <cell r="D388">
            <v>5709649.8300000001</v>
          </cell>
        </row>
        <row r="389">
          <cell r="D389">
            <v>4362772.9400000004</v>
          </cell>
        </row>
        <row r="390">
          <cell r="D390">
            <v>1331727.26</v>
          </cell>
        </row>
        <row r="391">
          <cell r="D391">
            <v>0</v>
          </cell>
        </row>
        <row r="392">
          <cell r="D392">
            <v>727607.7</v>
          </cell>
        </row>
        <row r="393">
          <cell r="D393">
            <v>15678036.699999999</v>
          </cell>
        </row>
        <row r="394">
          <cell r="D394">
            <v>1106205.0900000001</v>
          </cell>
        </row>
        <row r="395">
          <cell r="D395">
            <v>1907905.46</v>
          </cell>
        </row>
        <row r="396">
          <cell r="D396">
            <v>344069.31</v>
          </cell>
        </row>
        <row r="397">
          <cell r="D397">
            <v>1336553.82</v>
          </cell>
        </row>
        <row r="398">
          <cell r="D398">
            <v>166784.49</v>
          </cell>
        </row>
        <row r="399">
          <cell r="D399">
            <v>966079.88</v>
          </cell>
        </row>
        <row r="400">
          <cell r="D400">
            <v>3538255.94</v>
          </cell>
        </row>
        <row r="401">
          <cell r="D401">
            <v>1309119.78</v>
          </cell>
        </row>
        <row r="402">
          <cell r="D402">
            <v>295148.34000000003</v>
          </cell>
        </row>
        <row r="403">
          <cell r="D403">
            <v>3628174.61</v>
          </cell>
        </row>
        <row r="404">
          <cell r="D404">
            <v>3096942.21</v>
          </cell>
        </row>
        <row r="405">
          <cell r="D405">
            <v>577676.9</v>
          </cell>
        </row>
        <row r="406">
          <cell r="D406">
            <v>213192.41</v>
          </cell>
        </row>
        <row r="407">
          <cell r="D407">
            <v>118218877.13</v>
          </cell>
        </row>
        <row r="408">
          <cell r="D408">
            <v>828360653.04999995</v>
          </cell>
        </row>
        <row r="409">
          <cell r="D409">
            <v>332534961.61000001</v>
          </cell>
        </row>
        <row r="410">
          <cell r="D410">
            <v>274537646.45999998</v>
          </cell>
        </row>
        <row r="411">
          <cell r="D411">
            <v>40530935.18</v>
          </cell>
        </row>
        <row r="412">
          <cell r="D412">
            <v>118517760.29000001</v>
          </cell>
        </row>
        <row r="413">
          <cell r="D413">
            <v>79019211.469999999</v>
          </cell>
        </row>
        <row r="414">
          <cell r="D414">
            <v>160363412.81999999</v>
          </cell>
        </row>
        <row r="415">
          <cell r="D415">
            <v>246364990.41999999</v>
          </cell>
        </row>
        <row r="416">
          <cell r="D416">
            <v>120335634.58</v>
          </cell>
        </row>
        <row r="417">
          <cell r="D417">
            <v>41157253.780000001</v>
          </cell>
        </row>
        <row r="418">
          <cell r="D418">
            <v>532615320.54000002</v>
          </cell>
        </row>
        <row r="419">
          <cell r="D419">
            <v>156340643.66</v>
          </cell>
        </row>
        <row r="420">
          <cell r="D420">
            <v>98059007.049999997</v>
          </cell>
        </row>
        <row r="421">
          <cell r="D421">
            <v>134635.51999999999</v>
          </cell>
        </row>
        <row r="422">
          <cell r="D422">
            <v>178988119.78</v>
          </cell>
        </row>
        <row r="423">
          <cell r="D423">
            <v>569114934.99000001</v>
          </cell>
        </row>
        <row r="424">
          <cell r="D424">
            <v>373687782.70999998</v>
          </cell>
        </row>
        <row r="425">
          <cell r="D425">
            <v>282905851.70999998</v>
          </cell>
        </row>
        <row r="426">
          <cell r="D426">
            <v>53063729.020000003</v>
          </cell>
        </row>
        <row r="427">
          <cell r="D427">
            <v>143368029.52000001</v>
          </cell>
        </row>
        <row r="428">
          <cell r="D428">
            <v>109062705.48</v>
          </cell>
        </row>
        <row r="429">
          <cell r="D429">
            <v>225671111.44</v>
          </cell>
        </row>
        <row r="430">
          <cell r="D430">
            <v>220038726.28999999</v>
          </cell>
        </row>
        <row r="431">
          <cell r="D431">
            <v>150699126.75</v>
          </cell>
        </row>
        <row r="432">
          <cell r="D432">
            <v>42098624.969999999</v>
          </cell>
        </row>
        <row r="433">
          <cell r="D433">
            <v>445390332.16000003</v>
          </cell>
        </row>
        <row r="434">
          <cell r="D434">
            <v>155255915.59999999</v>
          </cell>
        </row>
        <row r="435">
          <cell r="D435">
            <v>129017175.65000001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Population"/>
      <sheetName val="GDP"/>
      <sheetName val="Regional GDP"/>
      <sheetName val="Tourism"/>
      <sheetName val="Other Assumptions"/>
    </sheetNames>
    <sheetDataSet>
      <sheetData sheetId="0"/>
      <sheetData sheetId="1">
        <row r="25">
          <cell r="I25">
            <v>178402.87799937133</v>
          </cell>
          <cell r="J25">
            <v>187531.95138136984</v>
          </cell>
          <cell r="K25">
            <v>194636.72243372566</v>
          </cell>
          <cell r="L25">
            <v>200417.5998044078</v>
          </cell>
          <cell r="M25">
            <v>204957.64730536833</v>
          </cell>
          <cell r="N25">
            <v>208429.34581397788</v>
          </cell>
        </row>
        <row r="26">
          <cell r="I26">
            <v>1657378.4639027626</v>
          </cell>
          <cell r="J26">
            <v>1779208.4803185361</v>
          </cell>
          <cell r="K26">
            <v>1877413.0697495723</v>
          </cell>
          <cell r="L26">
            <v>1968055.4364150744</v>
          </cell>
          <cell r="M26">
            <v>2049049.4498969652</v>
          </cell>
          <cell r="N26">
            <v>2123472.1525619086</v>
          </cell>
        </row>
        <row r="27">
          <cell r="I27">
            <v>465214.60305263521</v>
          </cell>
          <cell r="J27">
            <v>490369.40379309142</v>
          </cell>
          <cell r="K27">
            <v>509947.73846529983</v>
          </cell>
          <cell r="L27">
            <v>526565.39415319054</v>
          </cell>
          <cell r="M27">
            <v>539912.52837833122</v>
          </cell>
          <cell r="N27">
            <v>550898.65879640949</v>
          </cell>
        </row>
        <row r="28">
          <cell r="I28">
            <v>301872.10017114319</v>
          </cell>
          <cell r="J28">
            <v>315346.56840487581</v>
          </cell>
          <cell r="K28">
            <v>325525.55970800878</v>
          </cell>
          <cell r="L28">
            <v>333697.83102231845</v>
          </cell>
          <cell r="M28">
            <v>339596.01131640526</v>
          </cell>
          <cell r="N28">
            <v>343966.97286158358</v>
          </cell>
        </row>
        <row r="29">
          <cell r="I29">
            <v>48500</v>
          </cell>
          <cell r="J29">
            <v>49400</v>
          </cell>
          <cell r="K29">
            <v>50000</v>
          </cell>
          <cell r="L29">
            <v>50300</v>
          </cell>
          <cell r="M29">
            <v>50200</v>
          </cell>
          <cell r="N29">
            <v>49900</v>
          </cell>
        </row>
        <row r="30">
          <cell r="I30">
            <v>169233.22273060668</v>
          </cell>
          <cell r="J30">
            <v>176691.16691697808</v>
          </cell>
          <cell r="K30">
            <v>182435.56285145471</v>
          </cell>
          <cell r="L30">
            <v>187091.51618874643</v>
          </cell>
          <cell r="M30">
            <v>190651.8703503196</v>
          </cell>
          <cell r="N30">
            <v>193574.68128951138</v>
          </cell>
        </row>
        <row r="31">
          <cell r="I31">
            <v>122777.20303167895</v>
          </cell>
          <cell r="J31">
            <v>129267.7831720862</v>
          </cell>
          <cell r="K31">
            <v>134438.48625615591</v>
          </cell>
          <cell r="L31">
            <v>139018.72096678425</v>
          </cell>
          <cell r="M31">
            <v>142900.77189060807</v>
          </cell>
          <cell r="N31">
            <v>146343.51926233803</v>
          </cell>
        </row>
        <row r="32">
          <cell r="I32">
            <v>244980.88784883521</v>
          </cell>
          <cell r="J32">
            <v>252693.64325381583</v>
          </cell>
          <cell r="K32">
            <v>258285.26073137508</v>
          </cell>
          <cell r="L32">
            <v>262253.99741538893</v>
          </cell>
          <cell r="M32">
            <v>264583.19653522404</v>
          </cell>
          <cell r="N32">
            <v>265644.92682756454</v>
          </cell>
        </row>
        <row r="33">
          <cell r="I33">
            <v>528942.28982571338</v>
          </cell>
          <cell r="J33">
            <v>559013.1885019734</v>
          </cell>
          <cell r="K33">
            <v>583458.0524606196</v>
          </cell>
          <cell r="L33">
            <v>604990.16799972067</v>
          </cell>
          <cell r="M33">
            <v>623192.22521043615</v>
          </cell>
          <cell r="N33">
            <v>638979.75620830571</v>
          </cell>
        </row>
        <row r="34">
          <cell r="I34">
            <v>149100</v>
          </cell>
          <cell r="J34">
            <v>153600</v>
          </cell>
          <cell r="K34">
            <v>157000</v>
          </cell>
          <cell r="L34">
            <v>159400</v>
          </cell>
          <cell r="M34">
            <v>160700</v>
          </cell>
          <cell r="N34">
            <v>161000</v>
          </cell>
        </row>
        <row r="35">
          <cell r="I35">
            <v>32500</v>
          </cell>
          <cell r="J35">
            <v>32500</v>
          </cell>
          <cell r="K35">
            <v>32300</v>
          </cell>
          <cell r="L35">
            <v>31900</v>
          </cell>
          <cell r="M35">
            <v>31300</v>
          </cell>
          <cell r="N35">
            <v>30600</v>
          </cell>
        </row>
        <row r="36">
          <cell r="I36">
            <v>631919.43348119175</v>
          </cell>
          <cell r="J36">
            <v>680422.54549264791</v>
          </cell>
          <cell r="K36">
            <v>718981.94614229328</v>
          </cell>
          <cell r="L36">
            <v>754334.86081520026</v>
          </cell>
          <cell r="M36">
            <v>786182.94855226856</v>
          </cell>
          <cell r="N36">
            <v>815461.26226817095</v>
          </cell>
        </row>
        <row r="37">
          <cell r="I37">
            <v>233878.9179560616</v>
          </cell>
          <cell r="J37">
            <v>251155.26876462577</v>
          </cell>
          <cell r="K37">
            <v>264077.60120149492</v>
          </cell>
          <cell r="L37">
            <v>275774.475219168</v>
          </cell>
          <cell r="M37">
            <v>285973.35056407389</v>
          </cell>
          <cell r="N37">
            <v>295228.72411023016</v>
          </cell>
        </row>
        <row r="38">
          <cell r="I38">
            <v>99200</v>
          </cell>
          <cell r="J38">
            <v>100100</v>
          </cell>
          <cell r="K38">
            <v>100600</v>
          </cell>
          <cell r="L38">
            <v>100600</v>
          </cell>
          <cell r="M38">
            <v>100000</v>
          </cell>
          <cell r="N38">
            <v>99000</v>
          </cell>
        </row>
      </sheetData>
      <sheetData sheetId="2"/>
      <sheetData sheetId="3">
        <row r="7">
          <cell r="I7">
            <v>6085.689304450284</v>
          </cell>
          <cell r="J7">
            <v>6954.8154153124651</v>
          </cell>
          <cell r="K7">
            <v>7753.5122064449515</v>
          </cell>
          <cell r="L7">
            <v>8542.5665853545343</v>
          </cell>
          <cell r="M7">
            <v>9379.3458195251005</v>
          </cell>
          <cell r="N7">
            <v>10286.232653807094</v>
          </cell>
          <cell r="O7">
            <v>11250.89289891847</v>
          </cell>
          <cell r="P7">
            <v>12208.892874721783</v>
          </cell>
          <cell r="Q7">
            <v>13120.17120824375</v>
          </cell>
        </row>
        <row r="8">
          <cell r="I8">
            <v>89428.119529048243</v>
          </cell>
          <cell r="J8">
            <v>104371.43686065197</v>
          </cell>
          <cell r="K8">
            <v>118298.16723304465</v>
          </cell>
          <cell r="L8">
            <v>132688.81957233738</v>
          </cell>
          <cell r="M8">
            <v>148321.92319748562</v>
          </cell>
          <cell r="N8">
            <v>165763.35747725423</v>
          </cell>
          <cell r="O8">
            <v>184733.68062553031</v>
          </cell>
          <cell r="P8">
            <v>204213.51956303144</v>
          </cell>
          <cell r="Q8">
            <v>223518.69653866466</v>
          </cell>
        </row>
        <row r="9">
          <cell r="I9">
            <v>20342.442168042402</v>
          </cell>
          <cell r="J9">
            <v>23311.785120788594</v>
          </cell>
          <cell r="K9">
            <v>26040.012799920587</v>
          </cell>
          <cell r="L9">
            <v>28770.450402461924</v>
          </cell>
          <cell r="M9">
            <v>31671.866470932666</v>
          </cell>
          <cell r="N9">
            <v>34850.661322486543</v>
          </cell>
          <cell r="O9">
            <v>38229.089457478163</v>
          </cell>
          <cell r="P9">
            <v>41584.313192250345</v>
          </cell>
          <cell r="Q9">
            <v>44774.25764759865</v>
          </cell>
        </row>
        <row r="10">
          <cell r="I10">
            <v>12276.6899103868</v>
          </cell>
          <cell r="J10">
            <v>13942.76265987334</v>
          </cell>
          <cell r="K10">
            <v>15459.98885452285</v>
          </cell>
          <cell r="L10">
            <v>16957.2838400564</v>
          </cell>
          <cell r="M10">
            <v>18527.694972060359</v>
          </cell>
          <cell r="N10">
            <v>20237.861145736424</v>
          </cell>
          <cell r="O10">
            <v>22035.876845331775</v>
          </cell>
          <cell r="P10">
            <v>23791.665516065888</v>
          </cell>
          <cell r="Q10">
            <v>25424.821890696534</v>
          </cell>
        </row>
        <row r="11">
          <cell r="I11">
            <v>1670.1273281668421</v>
          </cell>
          <cell r="J11">
            <v>1849.4270604734834</v>
          </cell>
          <cell r="K11">
            <v>2010.6830653129637</v>
          </cell>
          <cell r="L11">
            <v>2164.3147765769313</v>
          </cell>
          <cell r="M11">
            <v>2319.0604122491018</v>
          </cell>
          <cell r="N11">
            <v>2485.9818110633505</v>
          </cell>
          <cell r="O11">
            <v>2656.8061677107398</v>
          </cell>
          <cell r="P11">
            <v>2815.8290149702575</v>
          </cell>
          <cell r="Q11">
            <v>2954.2633367198487</v>
          </cell>
        </row>
        <row r="12">
          <cell r="I12">
            <v>6768.6042319755888</v>
          </cell>
          <cell r="J12">
            <v>7682.9985348370355</v>
          </cell>
          <cell r="K12">
            <v>8520.9647600664885</v>
          </cell>
          <cell r="L12">
            <v>9350.0123926850356</v>
          </cell>
          <cell r="M12">
            <v>10229.515572649487</v>
          </cell>
          <cell r="N12">
            <v>11200.866125596429</v>
          </cell>
          <cell r="O12">
            <v>12234.62830045179</v>
          </cell>
          <cell r="P12">
            <v>13261.201613263529</v>
          </cell>
          <cell r="Q12">
            <v>14237.753174850885</v>
          </cell>
        </row>
        <row r="13">
          <cell r="I13">
            <v>8736.9852171600814</v>
          </cell>
          <cell r="J13">
            <v>10000.842357002504</v>
          </cell>
          <cell r="K13">
            <v>11172.059786187447</v>
          </cell>
          <cell r="L13">
            <v>12361.231772460624</v>
          </cell>
          <cell r="M13">
            <v>13642.028149734131</v>
          </cell>
          <cell r="N13">
            <v>15066.310633716508</v>
          </cell>
          <cell r="O13">
            <v>16595.744041570168</v>
          </cell>
          <cell r="P13">
            <v>18136.663020855329</v>
          </cell>
          <cell r="Q13">
            <v>19629.141982054414</v>
          </cell>
        </row>
        <row r="14">
          <cell r="I14">
            <v>9250.4937778798958</v>
          </cell>
          <cell r="J14">
            <v>10373.598694867453</v>
          </cell>
          <cell r="K14">
            <v>11389.32816472072</v>
          </cell>
          <cell r="L14">
            <v>12373.695472472191</v>
          </cell>
          <cell r="M14">
            <v>13402.7979783479</v>
          </cell>
          <cell r="N14">
            <v>14511.883885227357</v>
          </cell>
          <cell r="O14">
            <v>15673.377282759975</v>
          </cell>
          <cell r="P14">
            <v>16796.887325254513</v>
          </cell>
          <cell r="Q14">
            <v>17829.656079298093</v>
          </cell>
        </row>
        <row r="15">
          <cell r="I15">
            <v>33081.820700328441</v>
          </cell>
          <cell r="J15">
            <v>38010.674979995572</v>
          </cell>
          <cell r="K15">
            <v>42614.414177809813</v>
          </cell>
          <cell r="L15">
            <v>47279.625184351942</v>
          </cell>
          <cell r="M15">
            <v>52288.193825974857</v>
          </cell>
          <cell r="N15">
            <v>57817.294990918323</v>
          </cell>
          <cell r="O15">
            <v>63751.156688431394</v>
          </cell>
          <cell r="P15">
            <v>69727.758052501144</v>
          </cell>
          <cell r="Q15">
            <v>75513.623241526439</v>
          </cell>
        </row>
        <row r="16">
          <cell r="I16">
            <v>6713.0005005824405</v>
          </cell>
          <cell r="J16">
            <v>7518.5253252623879</v>
          </cell>
          <cell r="K16">
            <v>8254.7601804020069</v>
          </cell>
          <cell r="L16">
            <v>8967.5116355393238</v>
          </cell>
          <cell r="M16">
            <v>9706.3380828848258</v>
          </cell>
          <cell r="N16">
            <v>10487.077306821784</v>
          </cell>
          <cell r="O16">
            <v>11296.659637354172</v>
          </cell>
          <cell r="P16">
            <v>12068.425298056658</v>
          </cell>
          <cell r="Q16">
            <v>12763.453813560409</v>
          </cell>
        </row>
        <row r="17">
          <cell r="I17">
            <v>1486.3757741474112</v>
          </cell>
          <cell r="J17">
            <v>1615.9615887903738</v>
          </cell>
          <cell r="K17">
            <v>1725.0971261435864</v>
          </cell>
          <cell r="L17">
            <v>1822.9742579609942</v>
          </cell>
          <cell r="M17">
            <v>1920.3929202244194</v>
          </cell>
          <cell r="N17">
            <v>2024.6792926057403</v>
          </cell>
          <cell r="O17">
            <v>2128.1313312560715</v>
          </cell>
          <cell r="P17">
            <v>2218.3245983131533</v>
          </cell>
          <cell r="Q17">
            <v>2289.0131126005417</v>
          </cell>
        </row>
        <row r="18">
          <cell r="I18">
            <v>32674.276224515103</v>
          </cell>
          <cell r="J18">
            <v>38249.46589661386</v>
          </cell>
          <cell r="K18">
            <v>43413.822071484989</v>
          </cell>
          <cell r="L18">
            <v>48736.354321777697</v>
          </cell>
          <cell r="M18">
            <v>54534.129647211186</v>
          </cell>
          <cell r="N18">
            <v>61001.028461400587</v>
          </cell>
          <cell r="O18">
            <v>68032.854157641414</v>
          </cell>
          <cell r="P18">
            <v>75252.445650380061</v>
          </cell>
          <cell r="Q18">
            <v>82405.119321117585</v>
          </cell>
        </row>
        <row r="19">
          <cell r="I19">
            <v>10633.000454998797</v>
          </cell>
          <cell r="J19">
            <v>12413.934939587376</v>
          </cell>
          <cell r="K19">
            <v>14020.454582858565</v>
          </cell>
          <cell r="L19">
            <v>15666.191071037731</v>
          </cell>
          <cell r="M19">
            <v>17441.780698241859</v>
          </cell>
          <cell r="N19">
            <v>19418.376778164456</v>
          </cell>
          <cell r="O19">
            <v>21553.895157994051</v>
          </cell>
          <cell r="P19">
            <v>23726.853749697326</v>
          </cell>
          <cell r="Q19">
            <v>25856.539512394465</v>
          </cell>
        </row>
        <row r="20">
          <cell r="I20">
            <v>5026.3748783176934</v>
          </cell>
          <cell r="J20">
            <v>5514.1642285238431</v>
          </cell>
          <cell r="K20">
            <v>5952.6035181742536</v>
          </cell>
          <cell r="L20">
            <v>6369.2131101009381</v>
          </cell>
          <cell r="M20">
            <v>6797.4137440608201</v>
          </cell>
          <cell r="N20">
            <v>7257.1810169575283</v>
          </cell>
          <cell r="O20">
            <v>7724.4620891624099</v>
          </cell>
          <cell r="P20">
            <v>8153.6679461684635</v>
          </cell>
          <cell r="Q20">
            <v>8519.8963685211256</v>
          </cell>
        </row>
      </sheetData>
      <sheetData sheetId="4">
        <row r="33">
          <cell r="B33">
            <v>50553514.5</v>
          </cell>
          <cell r="C33">
            <v>54367679</v>
          </cell>
          <cell r="D33">
            <v>58856629</v>
          </cell>
          <cell r="E33">
            <v>63937744</v>
          </cell>
          <cell r="F33">
            <v>67820503.5</v>
          </cell>
          <cell r="G33">
            <v>70962303</v>
          </cell>
          <cell r="H33">
            <v>90769012.5</v>
          </cell>
          <cell r="I33">
            <v>107801612.02055573</v>
          </cell>
          <cell r="J33">
            <v>124971613.98317753</v>
          </cell>
          <cell r="K33">
            <v>144876352.1141251</v>
          </cell>
          <cell r="L33">
            <v>167951398.98506325</v>
          </cell>
          <cell r="M33">
            <v>194701702.58579916</v>
          </cell>
          <cell r="N33">
            <v>225712636.02978623</v>
          </cell>
          <cell r="O33">
            <v>261662807.19124332</v>
          </cell>
        </row>
      </sheetData>
      <sheetData sheetId="5">
        <row r="6">
          <cell r="J6">
            <v>0</v>
          </cell>
          <cell r="K6">
            <v>0.1</v>
          </cell>
          <cell r="L6">
            <v>0.2</v>
          </cell>
          <cell r="M6">
            <v>0.3</v>
          </cell>
          <cell r="N6">
            <v>0.4</v>
          </cell>
          <cell r="O6">
            <v>0.5</v>
          </cell>
          <cell r="P6">
            <v>0.6</v>
          </cell>
          <cell r="Q6">
            <v>0.7</v>
          </cell>
        </row>
        <row r="7">
          <cell r="J7">
            <v>0</v>
          </cell>
          <cell r="K7">
            <v>0.1</v>
          </cell>
          <cell r="L7">
            <v>0.2</v>
          </cell>
          <cell r="M7">
            <v>0.3</v>
          </cell>
          <cell r="N7">
            <v>0.4</v>
          </cell>
          <cell r="O7">
            <v>0.5</v>
          </cell>
          <cell r="P7">
            <v>0.6</v>
          </cell>
          <cell r="Q7">
            <v>0.7</v>
          </cell>
        </row>
        <row r="8">
          <cell r="J8">
            <v>0</v>
          </cell>
          <cell r="K8">
            <v>0.1</v>
          </cell>
          <cell r="L8">
            <v>0.2</v>
          </cell>
          <cell r="M8">
            <v>0.3</v>
          </cell>
          <cell r="N8">
            <v>0.4</v>
          </cell>
          <cell r="O8">
            <v>0.5</v>
          </cell>
          <cell r="P8">
            <v>0.6</v>
          </cell>
          <cell r="Q8">
            <v>0.7</v>
          </cell>
        </row>
        <row r="9">
          <cell r="J9">
            <v>0</v>
          </cell>
          <cell r="K9">
            <v>0.1</v>
          </cell>
          <cell r="L9">
            <v>0.2</v>
          </cell>
          <cell r="M9">
            <v>0.3</v>
          </cell>
          <cell r="N9">
            <v>0.4</v>
          </cell>
          <cell r="O9">
            <v>0.5</v>
          </cell>
          <cell r="P9">
            <v>0.6</v>
          </cell>
          <cell r="Q9">
            <v>0.7</v>
          </cell>
        </row>
        <row r="10">
          <cell r="J10">
            <v>0</v>
          </cell>
          <cell r="K10">
            <v>0.1</v>
          </cell>
          <cell r="L10">
            <v>0.2</v>
          </cell>
          <cell r="M10">
            <v>0.3</v>
          </cell>
          <cell r="N10">
            <v>0.4</v>
          </cell>
          <cell r="O10">
            <v>0.5</v>
          </cell>
          <cell r="P10">
            <v>0.6</v>
          </cell>
          <cell r="Q10">
            <v>0.7</v>
          </cell>
        </row>
        <row r="11">
          <cell r="J11">
            <v>0</v>
          </cell>
          <cell r="K11">
            <v>0.1</v>
          </cell>
          <cell r="L11">
            <v>0.2</v>
          </cell>
          <cell r="M11">
            <v>0.3</v>
          </cell>
          <cell r="N11">
            <v>0.4</v>
          </cell>
          <cell r="O11">
            <v>0.5</v>
          </cell>
          <cell r="P11">
            <v>0.6</v>
          </cell>
          <cell r="Q11">
            <v>0.7</v>
          </cell>
        </row>
        <row r="12">
          <cell r="J12">
            <v>0</v>
          </cell>
          <cell r="K12">
            <v>0.1</v>
          </cell>
          <cell r="L12">
            <v>0.2</v>
          </cell>
          <cell r="M12">
            <v>0.3</v>
          </cell>
          <cell r="N12">
            <v>0.4</v>
          </cell>
          <cell r="O12">
            <v>0.5</v>
          </cell>
          <cell r="P12">
            <v>0.6</v>
          </cell>
          <cell r="Q12">
            <v>0.7</v>
          </cell>
        </row>
        <row r="13">
          <cell r="J13">
            <v>0</v>
          </cell>
          <cell r="K13">
            <v>0.1</v>
          </cell>
          <cell r="L13">
            <v>0.2</v>
          </cell>
          <cell r="M13">
            <v>0.3</v>
          </cell>
          <cell r="N13">
            <v>0.4</v>
          </cell>
          <cell r="O13">
            <v>0.5</v>
          </cell>
          <cell r="P13">
            <v>0.6</v>
          </cell>
          <cell r="Q13">
            <v>0.7</v>
          </cell>
        </row>
        <row r="14">
          <cell r="J14">
            <v>0</v>
          </cell>
          <cell r="K14">
            <v>0.1</v>
          </cell>
          <cell r="L14">
            <v>0.2</v>
          </cell>
          <cell r="M14">
            <v>0.3</v>
          </cell>
          <cell r="N14">
            <v>0.4</v>
          </cell>
          <cell r="O14">
            <v>0.5</v>
          </cell>
          <cell r="P14">
            <v>0.6</v>
          </cell>
          <cell r="Q14">
            <v>0.7</v>
          </cell>
        </row>
        <row r="15">
          <cell r="J15">
            <v>0</v>
          </cell>
          <cell r="K15">
            <v>0.1</v>
          </cell>
          <cell r="L15">
            <v>0.2</v>
          </cell>
          <cell r="M15">
            <v>0.3</v>
          </cell>
          <cell r="N15">
            <v>0.4</v>
          </cell>
          <cell r="O15">
            <v>0.5</v>
          </cell>
          <cell r="P15">
            <v>0.6</v>
          </cell>
          <cell r="Q15">
            <v>0.7</v>
          </cell>
        </row>
        <row r="16">
          <cell r="J16">
            <v>0</v>
          </cell>
          <cell r="K16">
            <v>0.1</v>
          </cell>
          <cell r="L16">
            <v>0.2</v>
          </cell>
          <cell r="M16">
            <v>0.3</v>
          </cell>
          <cell r="N16">
            <v>0.4</v>
          </cell>
          <cell r="O16">
            <v>0.5</v>
          </cell>
          <cell r="P16">
            <v>0.6</v>
          </cell>
          <cell r="Q16">
            <v>0.7</v>
          </cell>
        </row>
        <row r="17">
          <cell r="J17">
            <v>0</v>
          </cell>
          <cell r="K17">
            <v>0.1</v>
          </cell>
          <cell r="L17">
            <v>0.2</v>
          </cell>
          <cell r="M17">
            <v>0.3</v>
          </cell>
          <cell r="N17">
            <v>0.4</v>
          </cell>
          <cell r="O17">
            <v>0.5</v>
          </cell>
          <cell r="P17">
            <v>0.6</v>
          </cell>
          <cell r="Q17">
            <v>0.7</v>
          </cell>
        </row>
        <row r="18">
          <cell r="J18">
            <v>0</v>
          </cell>
          <cell r="K18">
            <v>0.1</v>
          </cell>
          <cell r="L18">
            <v>0.2</v>
          </cell>
          <cell r="M18">
            <v>0.3</v>
          </cell>
          <cell r="N18">
            <v>0.4</v>
          </cell>
          <cell r="O18">
            <v>0.5</v>
          </cell>
          <cell r="P18">
            <v>0.6</v>
          </cell>
          <cell r="Q18">
            <v>0.7</v>
          </cell>
        </row>
        <row r="19">
          <cell r="J19">
            <v>0</v>
          </cell>
          <cell r="K19">
            <v>0.1</v>
          </cell>
          <cell r="L19">
            <v>0.2</v>
          </cell>
          <cell r="M19">
            <v>0.3</v>
          </cell>
          <cell r="N19">
            <v>0.4</v>
          </cell>
          <cell r="O19">
            <v>0.5</v>
          </cell>
          <cell r="P19">
            <v>0.6</v>
          </cell>
          <cell r="Q19">
            <v>0.7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"/>
      <sheetName val="GDP"/>
      <sheetName val="Regional GDP"/>
      <sheetName val="Tourism"/>
      <sheetName val="Other Assumptions"/>
    </sheetNames>
    <sheetDataSet>
      <sheetData sheetId="0">
        <row r="4">
          <cell r="T4">
            <v>173877.05633753625</v>
          </cell>
          <cell r="U4">
            <v>180060.85711291956</v>
          </cell>
          <cell r="V4">
            <v>185847.5812930041</v>
          </cell>
          <cell r="W4">
            <v>190771.19904998079</v>
          </cell>
          <cell r="X4">
            <v>194317.69760050299</v>
          </cell>
          <cell r="Y4">
            <v>197033.85141978972</v>
          </cell>
        </row>
        <row r="5">
          <cell r="T5">
            <v>1612318.0468722712</v>
          </cell>
          <cell r="U5">
            <v>1703012.5667982257</v>
          </cell>
          <cell r="V5">
            <v>1793759.239984632</v>
          </cell>
          <cell r="W5">
            <v>1879812.1197303622</v>
          </cell>
          <cell r="X5">
            <v>1959137.2288777898</v>
          </cell>
          <cell r="Y5">
            <v>2032569.0195941462</v>
          </cell>
        </row>
        <row r="6">
          <cell r="T6">
            <v>447882.00551849394</v>
          </cell>
          <cell r="U6">
            <v>464004.90726834547</v>
          </cell>
          <cell r="V6">
            <v>478833.05508015794</v>
          </cell>
          <cell r="W6">
            <v>491489.05731549719</v>
          </cell>
          <cell r="X6">
            <v>501368.31755789183</v>
          </cell>
          <cell r="Y6">
            <v>508954.77279871469</v>
          </cell>
        </row>
        <row r="7">
          <cell r="T7">
            <v>291356.88589291327</v>
          </cell>
          <cell r="U7">
            <v>299633.34148300794</v>
          </cell>
          <cell r="V7">
            <v>307213.98134888755</v>
          </cell>
          <cell r="W7">
            <v>313218.03639411827</v>
          </cell>
          <cell r="X7">
            <v>317282.31986308546</v>
          </cell>
          <cell r="Y7">
            <v>319673.78016834898</v>
          </cell>
        </row>
        <row r="8">
          <cell r="T8">
            <v>47800</v>
          </cell>
          <cell r="U8">
            <v>48300</v>
          </cell>
          <cell r="V8">
            <v>48600</v>
          </cell>
          <cell r="W8">
            <v>48600</v>
          </cell>
          <cell r="X8">
            <v>48200</v>
          </cell>
          <cell r="Y8">
            <v>47600</v>
          </cell>
        </row>
        <row r="9">
          <cell r="T9">
            <v>165718.64063427754</v>
          </cell>
          <cell r="U9">
            <v>170977.27288603262</v>
          </cell>
          <cell r="V9">
            <v>175938.58405225107</v>
          </cell>
          <cell r="W9">
            <v>179958.79291676852</v>
          </cell>
          <cell r="X9">
            <v>183033.42181551468</v>
          </cell>
          <cell r="Y9">
            <v>185405.33337990288</v>
          </cell>
        </row>
        <row r="10">
          <cell r="T10">
            <v>120250.55010303517</v>
          </cell>
          <cell r="U10">
            <v>125133.47769899759</v>
          </cell>
          <cell r="V10">
            <v>129919.0981802941</v>
          </cell>
          <cell r="W10">
            <v>134262.35898152352</v>
          </cell>
          <cell r="X10">
            <v>138058.23757465684</v>
          </cell>
          <cell r="Y10">
            <v>141349.82012503929</v>
          </cell>
        </row>
        <row r="11">
          <cell r="T11">
            <v>238161.10160315741</v>
          </cell>
          <cell r="U11">
            <v>242632.75470643706</v>
          </cell>
          <cell r="V11">
            <v>246507.32422898256</v>
          </cell>
          <cell r="W11">
            <v>249019.4160176033</v>
          </cell>
          <cell r="X11">
            <v>249955.28972093185</v>
          </cell>
          <cell r="Y11">
            <v>249561.60804722155</v>
          </cell>
        </row>
        <row r="12">
          <cell r="T12">
            <v>518228.39579476789</v>
          </cell>
          <cell r="U12">
            <v>541070.94408158981</v>
          </cell>
          <cell r="V12">
            <v>563023.92511613283</v>
          </cell>
          <cell r="W12">
            <v>582937.95885578566</v>
          </cell>
          <cell r="X12">
            <v>600106.1681394293</v>
          </cell>
          <cell r="Y12">
            <v>614895.47693059966</v>
          </cell>
        </row>
        <row r="13">
          <cell r="T13">
            <v>147900</v>
          </cell>
          <cell r="U13">
            <v>151500</v>
          </cell>
          <cell r="V13">
            <v>154400</v>
          </cell>
          <cell r="W13">
            <v>156200</v>
          </cell>
          <cell r="X13">
            <v>156900</v>
          </cell>
          <cell r="Y13">
            <v>156600</v>
          </cell>
        </row>
        <row r="14">
          <cell r="T14">
            <v>33800</v>
          </cell>
          <cell r="U14">
            <v>34000</v>
          </cell>
          <cell r="V14">
            <v>34100</v>
          </cell>
          <cell r="W14">
            <v>34000</v>
          </cell>
          <cell r="X14">
            <v>33700</v>
          </cell>
          <cell r="Y14">
            <v>33200</v>
          </cell>
        </row>
        <row r="15">
          <cell r="T15">
            <v>617655.26876462577</v>
          </cell>
          <cell r="U15">
            <v>652620.64196151029</v>
          </cell>
          <cell r="V15">
            <v>687398.47368237237</v>
          </cell>
          <cell r="W15">
            <v>720255.03824525862</v>
          </cell>
          <cell r="X15">
            <v>750304.45321504655</v>
          </cell>
          <cell r="Y15">
            <v>777946.05497537646</v>
          </cell>
        </row>
        <row r="16">
          <cell r="T16">
            <v>224552.04847892141</v>
          </cell>
          <cell r="U16">
            <v>236253.23600293387</v>
          </cell>
          <cell r="V16">
            <v>247758.73703328561</v>
          </cell>
          <cell r="W16">
            <v>258476.02249310189</v>
          </cell>
          <cell r="X16">
            <v>268236.86563515069</v>
          </cell>
          <cell r="Y16">
            <v>277210.28256086062</v>
          </cell>
        </row>
        <row r="17">
          <cell r="T17">
            <v>98400</v>
          </cell>
          <cell r="U17">
            <v>98900</v>
          </cell>
          <cell r="V17">
            <v>99200</v>
          </cell>
          <cell r="W17">
            <v>98900</v>
          </cell>
          <cell r="X17">
            <v>98000</v>
          </cell>
          <cell r="Y17">
            <v>96800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formatted Vehicle Summary"/>
      <sheetName val="Formatted Vehicle Summary"/>
    </sheetNames>
    <sheetDataSet>
      <sheetData sheetId="0"/>
      <sheetData sheetId="1">
        <row r="3">
          <cell r="C3">
            <v>2769927.1883999999</v>
          </cell>
        </row>
        <row r="4">
          <cell r="C4">
            <v>3036751.5041999999</v>
          </cell>
        </row>
        <row r="5">
          <cell r="C5">
            <v>3244384.7126000002</v>
          </cell>
        </row>
        <row r="6">
          <cell r="C6">
            <v>3438278.1664</v>
          </cell>
        </row>
        <row r="7">
          <cell r="C7">
            <v>3613175.8231000002</v>
          </cell>
        </row>
        <row r="8">
          <cell r="C8">
            <v>3763154.6364000002</v>
          </cell>
        </row>
        <row r="9">
          <cell r="C9">
            <v>3915835.7535999999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 notes"/>
      <sheetName val="Results"/>
      <sheetName val="Northland"/>
      <sheetName val="Auckland"/>
      <sheetName val="Waikato"/>
      <sheetName val="Bay of Plenty"/>
      <sheetName val="Gisborne"/>
      <sheetName val="Hawkes Bay"/>
      <sheetName val="Taranaki"/>
      <sheetName val="Manawatu"/>
      <sheetName val="Wellington"/>
      <sheetName val="TNM"/>
      <sheetName val="West Coast"/>
      <sheetName val="Canterbury"/>
      <sheetName val="Otago"/>
      <sheetName val="Southland"/>
      <sheetName val="Routings"/>
      <sheetName val="Distances"/>
    </sheetNames>
    <sheetDataSet>
      <sheetData sheetId="0"/>
      <sheetData sheetId="1">
        <row r="7">
          <cell r="D7">
            <v>1.0871529220581353</v>
          </cell>
          <cell r="E7">
            <v>1.352877163348706</v>
          </cell>
          <cell r="F7">
            <v>1.5231179758713835</v>
          </cell>
          <cell r="G7">
            <v>1.5666934434162572</v>
          </cell>
          <cell r="H7">
            <v>1.7010812750001856</v>
          </cell>
        </row>
        <row r="8">
          <cell r="D8">
            <v>2.0290936975089862</v>
          </cell>
          <cell r="E8">
            <v>2.6288885213342521</v>
          </cell>
          <cell r="F8">
            <v>3.0482881581288135</v>
          </cell>
          <cell r="G8">
            <v>3.4205859576345619</v>
          </cell>
          <cell r="H8">
            <v>3.7979351435766215</v>
          </cell>
        </row>
        <row r="9">
          <cell r="D9">
            <v>4.7276106686712636</v>
          </cell>
          <cell r="E9">
            <v>5.8598384207048007</v>
          </cell>
          <cell r="F9">
            <v>6.5332992783834172</v>
          </cell>
          <cell r="G9">
            <v>6.9759808032026136</v>
          </cell>
          <cell r="H9">
            <v>7.4203234305432462</v>
          </cell>
        </row>
        <row r="10">
          <cell r="D10">
            <v>2.0588211358464461</v>
          </cell>
          <cell r="E10">
            <v>2.5779773686950009</v>
          </cell>
          <cell r="F10">
            <v>2.80078695159649</v>
          </cell>
          <cell r="G10">
            <v>2.8256991959979993</v>
          </cell>
          <cell r="H10">
            <v>2.9733362546937219</v>
          </cell>
        </row>
        <row r="11">
          <cell r="D11">
            <v>0.43137713077393808</v>
          </cell>
          <cell r="E11">
            <v>0.62903528625400673</v>
          </cell>
          <cell r="F11">
            <v>0.6583849466388384</v>
          </cell>
          <cell r="G11">
            <v>0.55908064829074078</v>
          </cell>
          <cell r="H11">
            <v>0.57143602652908654</v>
          </cell>
        </row>
        <row r="12">
          <cell r="D12">
            <v>0.839100298827122</v>
          </cell>
          <cell r="E12">
            <v>1.1774174650096141</v>
          </cell>
          <cell r="F12">
            <v>1.2818758793518359</v>
          </cell>
          <cell r="G12">
            <v>1.2258409654803706</v>
          </cell>
          <cell r="H12">
            <v>1.2701649219249422</v>
          </cell>
        </row>
        <row r="13">
          <cell r="D13">
            <v>0.73590904157793025</v>
          </cell>
          <cell r="E13">
            <v>0.89761962008194995</v>
          </cell>
          <cell r="F13">
            <v>0.97389128794341229</v>
          </cell>
          <cell r="G13">
            <v>1.0201676810929565</v>
          </cell>
          <cell r="H13">
            <v>1.0628582720865054</v>
          </cell>
        </row>
        <row r="14">
          <cell r="D14">
            <v>1.6336054163377352</v>
          </cell>
          <cell r="E14">
            <v>2.0827847615986692</v>
          </cell>
          <cell r="F14">
            <v>2.3019908611440743</v>
          </cell>
          <cell r="G14">
            <v>2.4207356151335104</v>
          </cell>
          <cell r="H14">
            <v>2.5151554884758776</v>
          </cell>
        </row>
        <row r="15">
          <cell r="D15">
            <v>0.68676325933740434</v>
          </cell>
          <cell r="E15">
            <v>0.88931565502579535</v>
          </cell>
          <cell r="F15">
            <v>0.99781649755506274</v>
          </cell>
          <cell r="G15">
            <v>1.0728530638158327</v>
          </cell>
          <cell r="H15">
            <v>1.1390071798580723</v>
          </cell>
        </row>
        <row r="16">
          <cell r="D16">
            <v>1.0315956918253852</v>
          </cell>
          <cell r="E16">
            <v>1.2650533785599321</v>
          </cell>
          <cell r="F16">
            <v>1.4243650053251562</v>
          </cell>
          <cell r="G16">
            <v>1.4566160017195264</v>
          </cell>
          <cell r="H16">
            <v>1.5269819262367474</v>
          </cell>
        </row>
        <row r="17">
          <cell r="D17">
            <v>0.22789233877053591</v>
          </cell>
          <cell r="E17">
            <v>0.26070515975314962</v>
          </cell>
          <cell r="F17">
            <v>0.27456315406601239</v>
          </cell>
          <cell r="G17">
            <v>0.27314425045660795</v>
          </cell>
          <cell r="H17">
            <v>0.27495022145252557</v>
          </cell>
        </row>
        <row r="18">
          <cell r="D18">
            <v>2.6623189599156047</v>
          </cell>
          <cell r="E18">
            <v>3.4401258262361218</v>
          </cell>
          <cell r="F18">
            <v>3.921019969726931</v>
          </cell>
          <cell r="G18">
            <v>4.3322188270481101</v>
          </cell>
          <cell r="H18">
            <v>4.6053321827396783</v>
          </cell>
        </row>
        <row r="19">
          <cell r="D19">
            <v>1.1497361586992993</v>
          </cell>
          <cell r="E19">
            <v>1.5331044942624308</v>
          </cell>
          <cell r="F19">
            <v>1.7160689019227475</v>
          </cell>
          <cell r="G19">
            <v>1.8363875841703217</v>
          </cell>
          <cell r="H19">
            <v>1.9728239153416975</v>
          </cell>
        </row>
        <row r="20">
          <cell r="D20">
            <v>0.58393394575965829</v>
          </cell>
          <cell r="E20">
            <v>0.73733037145293112</v>
          </cell>
          <cell r="F20">
            <v>0.82276815472241893</v>
          </cell>
          <cell r="G20">
            <v>0.84205127466312746</v>
          </cell>
          <cell r="H20">
            <v>0.8655513002152212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_14 fleet"/>
    </sheetNames>
    <sheetDataSet>
      <sheetData sheetId="0">
        <row r="9">
          <cell r="D9">
            <v>114</v>
          </cell>
        </row>
        <row r="10">
          <cell r="D10">
            <v>379</v>
          </cell>
        </row>
        <row r="11">
          <cell r="D11">
            <v>2062</v>
          </cell>
        </row>
        <row r="12">
          <cell r="D12">
            <v>577</v>
          </cell>
        </row>
        <row r="13">
          <cell r="D13">
            <v>585</v>
          </cell>
        </row>
        <row r="14">
          <cell r="D14">
            <v>70</v>
          </cell>
        </row>
        <row r="15">
          <cell r="D15">
            <v>293</v>
          </cell>
        </row>
        <row r="16">
          <cell r="D16">
            <v>107</v>
          </cell>
        </row>
        <row r="17">
          <cell r="D17">
            <v>301</v>
          </cell>
        </row>
        <row r="18">
          <cell r="D18">
            <v>670</v>
          </cell>
        </row>
        <row r="19">
          <cell r="D19">
            <v>249</v>
          </cell>
        </row>
        <row r="20">
          <cell r="D20">
            <v>90</v>
          </cell>
        </row>
        <row r="21">
          <cell r="D21">
            <v>1233</v>
          </cell>
        </row>
        <row r="22">
          <cell r="D22">
            <v>494</v>
          </cell>
        </row>
        <row r="23">
          <cell r="D23">
            <v>301</v>
          </cell>
        </row>
        <row r="24">
          <cell r="D24">
            <v>44</v>
          </cell>
        </row>
        <row r="25">
          <cell r="D25">
            <v>95</v>
          </cell>
        </row>
        <row r="26">
          <cell r="D26">
            <v>263</v>
          </cell>
        </row>
        <row r="27">
          <cell r="D27">
            <v>188</v>
          </cell>
        </row>
        <row r="28">
          <cell r="D28">
            <v>164</v>
          </cell>
        </row>
        <row r="29">
          <cell r="D29">
            <v>25</v>
          </cell>
        </row>
        <row r="30">
          <cell r="D30">
            <v>60</v>
          </cell>
        </row>
        <row r="31">
          <cell r="D31">
            <v>82</v>
          </cell>
        </row>
        <row r="32">
          <cell r="D32">
            <v>103</v>
          </cell>
        </row>
        <row r="33">
          <cell r="D33">
            <v>52</v>
          </cell>
        </row>
        <row r="34">
          <cell r="D34">
            <v>92</v>
          </cell>
        </row>
        <row r="35">
          <cell r="D35">
            <v>41</v>
          </cell>
        </row>
        <row r="36">
          <cell r="D36">
            <v>362</v>
          </cell>
        </row>
        <row r="37">
          <cell r="D37">
            <v>82</v>
          </cell>
        </row>
        <row r="38">
          <cell r="D38">
            <v>75</v>
          </cell>
        </row>
        <row r="39">
          <cell r="D39">
            <v>1</v>
          </cell>
        </row>
        <row r="40">
          <cell r="D40">
            <v>70</v>
          </cell>
        </row>
        <row r="41">
          <cell r="D41">
            <v>602</v>
          </cell>
        </row>
        <row r="42">
          <cell r="D42">
            <v>119</v>
          </cell>
        </row>
        <row r="43">
          <cell r="D43">
            <v>118</v>
          </cell>
        </row>
        <row r="44">
          <cell r="D44">
            <v>6</v>
          </cell>
        </row>
        <row r="45">
          <cell r="D45">
            <v>45</v>
          </cell>
        </row>
        <row r="46">
          <cell r="D46">
            <v>21</v>
          </cell>
        </row>
        <row r="47">
          <cell r="D47">
            <v>37</v>
          </cell>
        </row>
        <row r="48">
          <cell r="D48">
            <v>150</v>
          </cell>
        </row>
        <row r="49">
          <cell r="D49">
            <v>45</v>
          </cell>
        </row>
        <row r="50">
          <cell r="D50">
            <v>17</v>
          </cell>
        </row>
        <row r="51">
          <cell r="D51">
            <v>290</v>
          </cell>
        </row>
        <row r="52">
          <cell r="D52">
            <v>177</v>
          </cell>
        </row>
        <row r="53">
          <cell r="D53">
            <v>32</v>
          </cell>
        </row>
        <row r="54">
          <cell r="D54">
            <v>1</v>
          </cell>
        </row>
        <row r="55">
          <cell r="D55">
            <v>73</v>
          </cell>
        </row>
        <row r="56">
          <cell r="D56">
            <v>3094</v>
          </cell>
        </row>
        <row r="57">
          <cell r="D57">
            <v>210</v>
          </cell>
        </row>
        <row r="58">
          <cell r="D58">
            <v>170</v>
          </cell>
        </row>
        <row r="59">
          <cell r="D59">
            <v>38</v>
          </cell>
        </row>
        <row r="60">
          <cell r="D60">
            <v>133</v>
          </cell>
        </row>
        <row r="61">
          <cell r="D61">
            <v>68</v>
          </cell>
        </row>
        <row r="62">
          <cell r="D62">
            <v>113</v>
          </cell>
        </row>
        <row r="63">
          <cell r="D63">
            <v>1177</v>
          </cell>
        </row>
        <row r="64">
          <cell r="D64">
            <v>101</v>
          </cell>
        </row>
        <row r="65">
          <cell r="D65">
            <v>10</v>
          </cell>
        </row>
        <row r="66">
          <cell r="D66">
            <v>648</v>
          </cell>
        </row>
        <row r="67">
          <cell r="D67">
            <v>309</v>
          </cell>
        </row>
        <row r="68">
          <cell r="D68">
            <v>63</v>
          </cell>
        </row>
        <row r="69">
          <cell r="D69">
            <v>284</v>
          </cell>
        </row>
        <row r="70">
          <cell r="D70">
            <v>7172</v>
          </cell>
        </row>
        <row r="71">
          <cell r="D71">
            <v>115492</v>
          </cell>
        </row>
        <row r="72">
          <cell r="D72">
            <v>24433</v>
          </cell>
        </row>
        <row r="73">
          <cell r="D73">
            <v>17648</v>
          </cell>
        </row>
        <row r="74">
          <cell r="D74">
            <v>1787</v>
          </cell>
        </row>
        <row r="75">
          <cell r="D75">
            <v>8447</v>
          </cell>
        </row>
        <row r="76">
          <cell r="D76">
            <v>5572</v>
          </cell>
        </row>
        <row r="77">
          <cell r="D77">
            <v>11581</v>
          </cell>
        </row>
        <row r="78">
          <cell r="D78">
            <v>25426</v>
          </cell>
        </row>
        <row r="79">
          <cell r="D79">
            <v>9957</v>
          </cell>
        </row>
        <row r="80">
          <cell r="D80">
            <v>1763</v>
          </cell>
        </row>
        <row r="81">
          <cell r="D81">
            <v>47075</v>
          </cell>
        </row>
        <row r="82">
          <cell r="D82">
            <v>13523</v>
          </cell>
        </row>
        <row r="83">
          <cell r="D83">
            <v>5312</v>
          </cell>
        </row>
        <row r="84">
          <cell r="D84">
            <v>11085</v>
          </cell>
        </row>
        <row r="85">
          <cell r="D85">
            <v>85626</v>
          </cell>
        </row>
        <row r="86">
          <cell r="D86">
            <v>812124</v>
          </cell>
        </row>
        <row r="87">
          <cell r="D87">
            <v>236200</v>
          </cell>
        </row>
        <row r="88">
          <cell r="D88">
            <v>176043</v>
          </cell>
        </row>
        <row r="89">
          <cell r="D89">
            <v>21291</v>
          </cell>
        </row>
        <row r="90">
          <cell r="D90">
            <v>85997</v>
          </cell>
        </row>
        <row r="91">
          <cell r="D91">
            <v>65295</v>
          </cell>
        </row>
        <row r="92">
          <cell r="D92">
            <v>128726</v>
          </cell>
        </row>
        <row r="93">
          <cell r="D93">
            <v>246515</v>
          </cell>
        </row>
        <row r="94">
          <cell r="D94">
            <v>90394</v>
          </cell>
        </row>
        <row r="95">
          <cell r="D95">
            <v>18436</v>
          </cell>
        </row>
        <row r="96">
          <cell r="D96">
            <v>377994</v>
          </cell>
        </row>
        <row r="97">
          <cell r="D97">
            <v>112835</v>
          </cell>
        </row>
        <row r="98">
          <cell r="D98">
            <v>61274</v>
          </cell>
        </row>
        <row r="99">
          <cell r="D99">
            <v>150</v>
          </cell>
        </row>
        <row r="100">
          <cell r="D100">
            <v>94</v>
          </cell>
        </row>
        <row r="101">
          <cell r="D101">
            <v>1657</v>
          </cell>
        </row>
        <row r="102">
          <cell r="D102">
            <v>472</v>
          </cell>
        </row>
        <row r="103">
          <cell r="D103">
            <v>320</v>
          </cell>
        </row>
        <row r="104">
          <cell r="D104">
            <v>42</v>
          </cell>
        </row>
        <row r="105">
          <cell r="D105">
            <v>141</v>
          </cell>
        </row>
        <row r="106">
          <cell r="D106">
            <v>169</v>
          </cell>
        </row>
        <row r="107">
          <cell r="D107">
            <v>360</v>
          </cell>
        </row>
        <row r="108">
          <cell r="D108">
            <v>599</v>
          </cell>
        </row>
        <row r="109">
          <cell r="D109">
            <v>245</v>
          </cell>
        </row>
        <row r="110">
          <cell r="D110">
            <v>32</v>
          </cell>
        </row>
        <row r="111">
          <cell r="D111">
            <v>826</v>
          </cell>
        </row>
        <row r="112">
          <cell r="D112">
            <v>286</v>
          </cell>
        </row>
        <row r="113">
          <cell r="D113">
            <v>136</v>
          </cell>
        </row>
        <row r="114">
          <cell r="D114">
            <v>3948</v>
          </cell>
        </row>
        <row r="115">
          <cell r="D115">
            <v>4034</v>
          </cell>
        </row>
        <row r="116">
          <cell r="D116">
            <v>32271</v>
          </cell>
        </row>
        <row r="117">
          <cell r="D117">
            <v>12954</v>
          </cell>
        </row>
        <row r="118">
          <cell r="D118">
            <v>10306</v>
          </cell>
        </row>
        <row r="119">
          <cell r="D119">
            <v>1195</v>
          </cell>
        </row>
        <row r="120">
          <cell r="D120">
            <v>4666</v>
          </cell>
        </row>
        <row r="121">
          <cell r="D121">
            <v>5170</v>
          </cell>
        </row>
        <row r="122">
          <cell r="D122">
            <v>8890</v>
          </cell>
        </row>
        <row r="123">
          <cell r="D123">
            <v>15550</v>
          </cell>
        </row>
        <row r="124">
          <cell r="D124">
            <v>7736</v>
          </cell>
        </row>
        <row r="125">
          <cell r="D125">
            <v>1762</v>
          </cell>
        </row>
        <row r="126">
          <cell r="D126">
            <v>23568</v>
          </cell>
        </row>
        <row r="127">
          <cell r="D127">
            <v>7084</v>
          </cell>
        </row>
        <row r="128">
          <cell r="D128">
            <v>3902</v>
          </cell>
        </row>
        <row r="129">
          <cell r="D129">
            <v>7545</v>
          </cell>
        </row>
        <row r="130">
          <cell r="D130">
            <v>3050</v>
          </cell>
        </row>
        <row r="131">
          <cell r="D131">
            <v>20132</v>
          </cell>
        </row>
        <row r="132">
          <cell r="D132">
            <v>9293</v>
          </cell>
        </row>
        <row r="133">
          <cell r="D133">
            <v>6436</v>
          </cell>
        </row>
        <row r="134">
          <cell r="D134">
            <v>965</v>
          </cell>
        </row>
        <row r="135">
          <cell r="D135">
            <v>3088</v>
          </cell>
        </row>
        <row r="136">
          <cell r="D136">
            <v>2515</v>
          </cell>
        </row>
        <row r="137">
          <cell r="D137">
            <v>4935</v>
          </cell>
        </row>
        <row r="138">
          <cell r="D138">
            <v>4987</v>
          </cell>
        </row>
        <row r="139">
          <cell r="D139">
            <v>3328</v>
          </cell>
        </row>
        <row r="140">
          <cell r="D140">
            <v>977</v>
          </cell>
        </row>
        <row r="141">
          <cell r="D141">
            <v>14947</v>
          </cell>
        </row>
        <row r="142">
          <cell r="D142">
            <v>3741</v>
          </cell>
        </row>
        <row r="143">
          <cell r="D143">
            <v>2608</v>
          </cell>
        </row>
        <row r="144">
          <cell r="D144">
            <v>5604</v>
          </cell>
        </row>
        <row r="145">
          <cell r="D145">
            <v>3230</v>
          </cell>
        </row>
        <row r="146">
          <cell r="D146">
            <v>8763</v>
          </cell>
        </row>
        <row r="147">
          <cell r="D147">
            <v>7698</v>
          </cell>
        </row>
        <row r="148">
          <cell r="D148">
            <v>4983</v>
          </cell>
        </row>
        <row r="149">
          <cell r="D149">
            <v>813</v>
          </cell>
        </row>
        <row r="150">
          <cell r="D150">
            <v>2382</v>
          </cell>
        </row>
        <row r="151">
          <cell r="D151">
            <v>2305</v>
          </cell>
        </row>
        <row r="152">
          <cell r="D152">
            <v>4233</v>
          </cell>
        </row>
        <row r="153">
          <cell r="D153">
            <v>2731</v>
          </cell>
        </row>
        <row r="154">
          <cell r="D154">
            <v>3392</v>
          </cell>
        </row>
        <row r="155">
          <cell r="D155">
            <v>747</v>
          </cell>
        </row>
        <row r="156">
          <cell r="D156">
            <v>9746</v>
          </cell>
        </row>
        <row r="157">
          <cell r="D157">
            <v>2732</v>
          </cell>
        </row>
        <row r="158">
          <cell r="D158">
            <v>2177</v>
          </cell>
        </row>
        <row r="159">
          <cell r="D159">
            <v>0</v>
          </cell>
        </row>
        <row r="160">
          <cell r="D160">
            <v>59</v>
          </cell>
        </row>
        <row r="161">
          <cell r="D161">
            <v>302</v>
          </cell>
        </row>
        <row r="162">
          <cell r="D162">
            <v>153</v>
          </cell>
        </row>
        <row r="163">
          <cell r="D163">
            <v>152</v>
          </cell>
        </row>
        <row r="164">
          <cell r="D164">
            <v>6</v>
          </cell>
        </row>
        <row r="165">
          <cell r="D165">
            <v>50</v>
          </cell>
        </row>
        <row r="166">
          <cell r="D166">
            <v>26</v>
          </cell>
        </row>
        <row r="167">
          <cell r="D167">
            <v>78</v>
          </cell>
        </row>
        <row r="168">
          <cell r="D168">
            <v>65</v>
          </cell>
        </row>
        <row r="169">
          <cell r="D169">
            <v>56</v>
          </cell>
        </row>
        <row r="170">
          <cell r="D170">
            <v>38</v>
          </cell>
        </row>
        <row r="171">
          <cell r="D171">
            <v>223</v>
          </cell>
        </row>
        <row r="172">
          <cell r="D172">
            <v>207</v>
          </cell>
        </row>
        <row r="173">
          <cell r="D173">
            <v>65</v>
          </cell>
        </row>
        <row r="174">
          <cell r="D174">
            <v>0</v>
          </cell>
        </row>
        <row r="175">
          <cell r="D175">
            <v>20</v>
          </cell>
        </row>
        <row r="176">
          <cell r="D176">
            <v>366</v>
          </cell>
        </row>
        <row r="177">
          <cell r="D177">
            <v>45</v>
          </cell>
        </row>
        <row r="178">
          <cell r="D178">
            <v>66</v>
          </cell>
        </row>
        <row r="179">
          <cell r="D179">
            <v>10</v>
          </cell>
        </row>
        <row r="180">
          <cell r="D180">
            <v>25</v>
          </cell>
        </row>
        <row r="181">
          <cell r="D181">
            <v>10</v>
          </cell>
        </row>
        <row r="182">
          <cell r="D182">
            <v>29</v>
          </cell>
        </row>
        <row r="183">
          <cell r="D183">
            <v>77</v>
          </cell>
        </row>
        <row r="184">
          <cell r="D184">
            <v>41</v>
          </cell>
        </row>
        <row r="185">
          <cell r="D185">
            <v>17</v>
          </cell>
        </row>
        <row r="186">
          <cell r="D186">
            <v>108</v>
          </cell>
        </row>
        <row r="187">
          <cell r="D187">
            <v>102</v>
          </cell>
        </row>
        <row r="188">
          <cell r="D188">
            <v>30</v>
          </cell>
        </row>
        <row r="189">
          <cell r="D189">
            <v>128</v>
          </cell>
        </row>
        <row r="190">
          <cell r="D190">
            <v>6186</v>
          </cell>
        </row>
        <row r="191">
          <cell r="D191">
            <v>46239</v>
          </cell>
        </row>
        <row r="192">
          <cell r="D192">
            <v>18176</v>
          </cell>
        </row>
        <row r="193">
          <cell r="D193">
            <v>14280</v>
          </cell>
        </row>
        <row r="194">
          <cell r="D194">
            <v>2223</v>
          </cell>
        </row>
        <row r="195">
          <cell r="D195">
            <v>6882</v>
          </cell>
        </row>
        <row r="196">
          <cell r="D196">
            <v>4658</v>
          </cell>
        </row>
        <row r="197">
          <cell r="D197">
            <v>9030</v>
          </cell>
        </row>
        <row r="198">
          <cell r="D198">
            <v>14034</v>
          </cell>
        </row>
        <row r="199">
          <cell r="D199">
            <v>7570</v>
          </cell>
        </row>
        <row r="200">
          <cell r="D200">
            <v>2022</v>
          </cell>
        </row>
        <row r="201">
          <cell r="D201">
            <v>31994</v>
          </cell>
        </row>
        <row r="202">
          <cell r="D202">
            <v>8870</v>
          </cell>
        </row>
        <row r="203">
          <cell r="D203">
            <v>5357</v>
          </cell>
        </row>
        <row r="204">
          <cell r="D204">
            <v>1946</v>
          </cell>
        </row>
        <row r="205">
          <cell r="D205">
            <v>15482</v>
          </cell>
        </row>
        <row r="206">
          <cell r="D206">
            <v>48897</v>
          </cell>
        </row>
        <row r="207">
          <cell r="D207">
            <v>31916</v>
          </cell>
        </row>
        <row r="208">
          <cell r="D208">
            <v>25630</v>
          </cell>
        </row>
        <row r="209">
          <cell r="D209">
            <v>4874</v>
          </cell>
        </row>
        <row r="210">
          <cell r="D210">
            <v>13236</v>
          </cell>
        </row>
        <row r="211">
          <cell r="D211">
            <v>10102</v>
          </cell>
        </row>
        <row r="212">
          <cell r="D212">
            <v>20146</v>
          </cell>
        </row>
        <row r="213">
          <cell r="D213">
            <v>19692</v>
          </cell>
        </row>
        <row r="214">
          <cell r="D214">
            <v>15790</v>
          </cell>
        </row>
        <row r="215">
          <cell r="D215">
            <v>4035</v>
          </cell>
        </row>
        <row r="216">
          <cell r="D216">
            <v>42180</v>
          </cell>
        </row>
        <row r="217">
          <cell r="D217">
            <v>14966</v>
          </cell>
        </row>
        <row r="218">
          <cell r="D218">
            <v>11645</v>
          </cell>
        </row>
        <row r="228">
          <cell r="D228">
            <v>5738884.4199999999</v>
          </cell>
        </row>
        <row r="229">
          <cell r="D229">
            <v>8224313.7300000004</v>
          </cell>
        </row>
        <row r="230">
          <cell r="D230">
            <v>84944263.700000003</v>
          </cell>
        </row>
        <row r="231">
          <cell r="D231">
            <v>14598473.07</v>
          </cell>
        </row>
        <row r="232">
          <cell r="D232">
            <v>14576595.91</v>
          </cell>
        </row>
        <row r="233">
          <cell r="D233">
            <v>1419295.58</v>
          </cell>
        </row>
        <row r="234">
          <cell r="D234">
            <v>5157083.3099999996</v>
          </cell>
        </row>
        <row r="235">
          <cell r="D235">
            <v>2236644.42</v>
          </cell>
        </row>
        <row r="236">
          <cell r="D236">
            <v>6509647.7000000002</v>
          </cell>
        </row>
        <row r="237">
          <cell r="D237">
            <v>21010040.309999999</v>
          </cell>
        </row>
        <row r="238">
          <cell r="D238">
            <v>5532853.7300000004</v>
          </cell>
        </row>
        <row r="239">
          <cell r="D239">
            <v>1659087.72</v>
          </cell>
        </row>
        <row r="240">
          <cell r="D240">
            <v>41577537.869999997</v>
          </cell>
        </row>
        <row r="241">
          <cell r="D241">
            <v>14835070.4</v>
          </cell>
        </row>
        <row r="242">
          <cell r="D242">
            <v>5914427.6799999997</v>
          </cell>
        </row>
        <row r="243">
          <cell r="D243">
            <v>23758.5</v>
          </cell>
        </row>
        <row r="244">
          <cell r="D244">
            <v>1022212.79</v>
          </cell>
        </row>
        <row r="245">
          <cell r="D245">
            <v>4238022.46</v>
          </cell>
        </row>
        <row r="246">
          <cell r="D246">
            <v>2464152.65</v>
          </cell>
        </row>
        <row r="247">
          <cell r="D247">
            <v>1996018.78</v>
          </cell>
        </row>
        <row r="248">
          <cell r="D248">
            <v>353326.19</v>
          </cell>
        </row>
        <row r="249">
          <cell r="D249">
            <v>387677.79</v>
          </cell>
        </row>
        <row r="250">
          <cell r="D250">
            <v>1367590</v>
          </cell>
        </row>
        <row r="251">
          <cell r="D251">
            <v>1100463.93</v>
          </cell>
        </row>
        <row r="252">
          <cell r="D252">
            <v>561374.06000000006</v>
          </cell>
        </row>
        <row r="253">
          <cell r="D253">
            <v>1108408.27</v>
          </cell>
        </row>
        <row r="254">
          <cell r="D254">
            <v>580190.53</v>
          </cell>
        </row>
        <row r="255">
          <cell r="D255">
            <v>4669176.53</v>
          </cell>
        </row>
        <row r="256">
          <cell r="D256">
            <v>789596.19</v>
          </cell>
        </row>
        <row r="257">
          <cell r="D257">
            <v>899108.41</v>
          </cell>
        </row>
        <row r="258">
          <cell r="D258">
            <v>0</v>
          </cell>
        </row>
        <row r="259">
          <cell r="D259">
            <v>2072623.9</v>
          </cell>
        </row>
        <row r="260">
          <cell r="D260">
            <v>16882339.289999999</v>
          </cell>
        </row>
        <row r="261">
          <cell r="D261">
            <v>3613453.52</v>
          </cell>
        </row>
        <row r="262">
          <cell r="D262">
            <v>2752849.79</v>
          </cell>
        </row>
        <row r="263">
          <cell r="D263">
            <v>74595.66</v>
          </cell>
        </row>
        <row r="264">
          <cell r="D264">
            <v>808408.45</v>
          </cell>
        </row>
        <row r="265">
          <cell r="D265">
            <v>627591.57999999996</v>
          </cell>
        </row>
        <row r="266">
          <cell r="D266">
            <v>1033798.95</v>
          </cell>
        </row>
        <row r="267">
          <cell r="D267">
            <v>4682260.17</v>
          </cell>
        </row>
        <row r="268">
          <cell r="D268">
            <v>854266.83</v>
          </cell>
        </row>
        <row r="269">
          <cell r="D269">
            <v>364612.79</v>
          </cell>
        </row>
        <row r="270">
          <cell r="D270">
            <v>8311026.8799999999</v>
          </cell>
        </row>
        <row r="271">
          <cell r="D271">
            <v>4460760</v>
          </cell>
        </row>
        <row r="272">
          <cell r="D272">
            <v>469296.21</v>
          </cell>
        </row>
        <row r="273">
          <cell r="D273">
            <v>0</v>
          </cell>
        </row>
        <row r="274">
          <cell r="D274">
            <v>2047691.75</v>
          </cell>
        </row>
        <row r="275">
          <cell r="D275">
            <v>116118573.19</v>
          </cell>
        </row>
        <row r="276">
          <cell r="D276">
            <v>6586375.71</v>
          </cell>
        </row>
        <row r="277">
          <cell r="D277">
            <v>6045057.6699999999</v>
          </cell>
        </row>
        <row r="278">
          <cell r="D278">
            <v>970788.79</v>
          </cell>
        </row>
        <row r="279">
          <cell r="D279">
            <v>3941584.29</v>
          </cell>
        </row>
        <row r="280">
          <cell r="D280">
            <v>2702029.9</v>
          </cell>
        </row>
        <row r="281">
          <cell r="D281">
            <v>3829480.99</v>
          </cell>
        </row>
        <row r="282">
          <cell r="D282">
            <v>46517138.789999999</v>
          </cell>
        </row>
        <row r="283">
          <cell r="D283">
            <v>3094692.61</v>
          </cell>
        </row>
        <row r="284">
          <cell r="D284">
            <v>369311.26</v>
          </cell>
        </row>
        <row r="285">
          <cell r="D285">
            <v>20536774.93</v>
          </cell>
        </row>
        <row r="286">
          <cell r="D286">
            <v>10409017.380000001</v>
          </cell>
        </row>
        <row r="287">
          <cell r="D287">
            <v>1926081.86</v>
          </cell>
        </row>
        <row r="288">
          <cell r="D288">
            <v>236651.1</v>
          </cell>
        </row>
        <row r="289">
          <cell r="D289">
            <v>134684167.88999999</v>
          </cell>
        </row>
        <row r="290">
          <cell r="D290">
            <v>1865994121.1199999</v>
          </cell>
        </row>
        <row r="291">
          <cell r="D291">
            <v>461832949.16000003</v>
          </cell>
        </row>
        <row r="292">
          <cell r="D292">
            <v>322055247.58999997</v>
          </cell>
        </row>
        <row r="293">
          <cell r="D293">
            <v>25854205.57</v>
          </cell>
        </row>
        <row r="294">
          <cell r="D294">
            <v>135811053.97999999</v>
          </cell>
        </row>
        <row r="295">
          <cell r="D295">
            <v>90089643.549999997</v>
          </cell>
        </row>
        <row r="296">
          <cell r="D296">
            <v>200641872.69999999</v>
          </cell>
        </row>
        <row r="297">
          <cell r="D297">
            <v>425231088.19999999</v>
          </cell>
        </row>
        <row r="298">
          <cell r="D298">
            <v>143987749.75999999</v>
          </cell>
        </row>
        <row r="299">
          <cell r="D299">
            <v>31537185.539999999</v>
          </cell>
        </row>
        <row r="300">
          <cell r="D300">
            <v>812673054.16999996</v>
          </cell>
        </row>
        <row r="301">
          <cell r="D301">
            <v>242604490.63999999</v>
          </cell>
        </row>
        <row r="302">
          <cell r="D302">
            <v>92134702.209999993</v>
          </cell>
        </row>
        <row r="303">
          <cell r="D303">
            <v>404189.43</v>
          </cell>
        </row>
        <row r="304">
          <cell r="D304">
            <v>964461913.80999994</v>
          </cell>
        </row>
        <row r="305">
          <cell r="D305">
            <v>8575951888.6099997</v>
          </cell>
        </row>
        <row r="306">
          <cell r="D306">
            <v>2710955086.3099999</v>
          </cell>
        </row>
        <row r="307">
          <cell r="D307">
            <v>1930763527.53</v>
          </cell>
        </row>
        <row r="308">
          <cell r="D308">
            <v>203021222.94999999</v>
          </cell>
        </row>
        <row r="309">
          <cell r="D309">
            <v>872433269.34000003</v>
          </cell>
        </row>
        <row r="310">
          <cell r="D310">
            <v>674848948.60000002</v>
          </cell>
        </row>
        <row r="311">
          <cell r="D311">
            <v>1317747944.71</v>
          </cell>
        </row>
        <row r="312">
          <cell r="D312">
            <v>2538364835.6100001</v>
          </cell>
        </row>
        <row r="313">
          <cell r="D313">
            <v>797645405.79999995</v>
          </cell>
        </row>
        <row r="314">
          <cell r="D314">
            <v>187441610.97999999</v>
          </cell>
        </row>
        <row r="315">
          <cell r="D315">
            <v>3653757076.9499998</v>
          </cell>
        </row>
        <row r="316">
          <cell r="D316">
            <v>1073802562.52</v>
          </cell>
        </row>
        <row r="317">
          <cell r="D317">
            <v>606814330.57000005</v>
          </cell>
        </row>
        <row r="318">
          <cell r="D318">
            <v>3473754.92</v>
          </cell>
        </row>
        <row r="319">
          <cell r="D319">
            <v>303861.96000000002</v>
          </cell>
        </row>
        <row r="320">
          <cell r="D320">
            <v>7426402.9400000004</v>
          </cell>
        </row>
        <row r="321">
          <cell r="D321">
            <v>1941862.08</v>
          </cell>
        </row>
        <row r="322">
          <cell r="D322">
            <v>1380132.32</v>
          </cell>
        </row>
        <row r="323">
          <cell r="D323">
            <v>102983.25</v>
          </cell>
        </row>
        <row r="324">
          <cell r="D324">
            <v>562810.66</v>
          </cell>
        </row>
        <row r="325">
          <cell r="D325">
            <v>553342.94999999995</v>
          </cell>
        </row>
        <row r="326">
          <cell r="D326">
            <v>1269892.49</v>
          </cell>
        </row>
        <row r="327">
          <cell r="D327">
            <v>2512096.67</v>
          </cell>
        </row>
        <row r="328">
          <cell r="D328">
            <v>651514.62</v>
          </cell>
        </row>
        <row r="329">
          <cell r="D329">
            <v>90056.36</v>
          </cell>
        </row>
        <row r="330">
          <cell r="D330">
            <v>4466322.0199999996</v>
          </cell>
        </row>
        <row r="331">
          <cell r="D331">
            <v>976665.98</v>
          </cell>
        </row>
        <row r="332">
          <cell r="D332">
            <v>345710.19</v>
          </cell>
        </row>
        <row r="333">
          <cell r="D333">
            <v>13151366.75</v>
          </cell>
        </row>
        <row r="334">
          <cell r="D334">
            <v>11314757.050000001</v>
          </cell>
        </row>
        <row r="335">
          <cell r="D335">
            <v>91911021.390000001</v>
          </cell>
        </row>
        <row r="336">
          <cell r="D336">
            <v>36467427.649999999</v>
          </cell>
        </row>
        <row r="337">
          <cell r="D337">
            <v>28713547.5</v>
          </cell>
        </row>
        <row r="338">
          <cell r="D338">
            <v>2424914.33</v>
          </cell>
        </row>
        <row r="339">
          <cell r="D339">
            <v>11731640.289999999</v>
          </cell>
        </row>
        <row r="340">
          <cell r="D340">
            <v>11896846.32</v>
          </cell>
        </row>
        <row r="341">
          <cell r="D341">
            <v>21944560.579999998</v>
          </cell>
        </row>
        <row r="342">
          <cell r="D342">
            <v>42864835.640000001</v>
          </cell>
        </row>
        <row r="343">
          <cell r="D343">
            <v>17523517.91</v>
          </cell>
        </row>
        <row r="344">
          <cell r="D344">
            <v>4116468.13</v>
          </cell>
        </row>
        <row r="345">
          <cell r="D345">
            <v>52227908.710000001</v>
          </cell>
        </row>
        <row r="346">
          <cell r="D346">
            <v>15003568.93</v>
          </cell>
        </row>
        <row r="347">
          <cell r="D347">
            <v>7128663.3899999997</v>
          </cell>
        </row>
        <row r="348">
          <cell r="D348">
            <v>21550458.280000001</v>
          </cell>
        </row>
        <row r="349">
          <cell r="D349">
            <v>92487248.459999993</v>
          </cell>
        </row>
        <row r="350">
          <cell r="D350">
            <v>532945130.37</v>
          </cell>
        </row>
        <row r="351">
          <cell r="D351">
            <v>261797180.06</v>
          </cell>
        </row>
        <row r="352">
          <cell r="D352">
            <v>214980157</v>
          </cell>
        </row>
        <row r="353">
          <cell r="D353">
            <v>27846176.370000001</v>
          </cell>
        </row>
        <row r="354">
          <cell r="D354">
            <v>86102056.540000007</v>
          </cell>
        </row>
        <row r="355">
          <cell r="D355">
            <v>71452552.560000002</v>
          </cell>
        </row>
        <row r="356">
          <cell r="D356">
            <v>136504819.90000001</v>
          </cell>
        </row>
        <row r="357">
          <cell r="D357">
            <v>116676159.68000001</v>
          </cell>
        </row>
        <row r="358">
          <cell r="D358">
            <v>83562777.170000002</v>
          </cell>
        </row>
        <row r="359">
          <cell r="D359">
            <v>26542264.07</v>
          </cell>
        </row>
        <row r="360">
          <cell r="D360">
            <v>370859973.44999999</v>
          </cell>
        </row>
        <row r="361">
          <cell r="D361">
            <v>94015170.299999997</v>
          </cell>
        </row>
        <row r="362">
          <cell r="D362">
            <v>77335171.799999997</v>
          </cell>
        </row>
        <row r="363">
          <cell r="D363">
            <v>17418266.620000001</v>
          </cell>
        </row>
        <row r="364">
          <cell r="D364">
            <v>30969418.620000001</v>
          </cell>
        </row>
        <row r="365">
          <cell r="D365">
            <v>105455234.3</v>
          </cell>
        </row>
        <row r="366">
          <cell r="D366">
            <v>66031931.719999999</v>
          </cell>
        </row>
        <row r="367">
          <cell r="D367">
            <v>42230856.479999997</v>
          </cell>
        </row>
        <row r="368">
          <cell r="D368">
            <v>6460423.8399999999</v>
          </cell>
        </row>
        <row r="369">
          <cell r="D369">
            <v>18830827.18</v>
          </cell>
        </row>
        <row r="370">
          <cell r="D370">
            <v>19291916.309999999</v>
          </cell>
        </row>
        <row r="371">
          <cell r="D371">
            <v>36601734.079999998</v>
          </cell>
        </row>
        <row r="372">
          <cell r="D372">
            <v>26298107.969999999</v>
          </cell>
        </row>
        <row r="373">
          <cell r="D373">
            <v>22139429.93</v>
          </cell>
        </row>
        <row r="374">
          <cell r="D374">
            <v>4629527.26</v>
          </cell>
        </row>
        <row r="375">
          <cell r="D375">
            <v>77018738.290000007</v>
          </cell>
        </row>
        <row r="376">
          <cell r="D376">
            <v>20329518.050000001</v>
          </cell>
        </row>
        <row r="377">
          <cell r="D377">
            <v>16724800.08</v>
          </cell>
        </row>
        <row r="378">
          <cell r="D378">
            <v>0</v>
          </cell>
        </row>
        <row r="379">
          <cell r="D379">
            <v>1147874.47</v>
          </cell>
        </row>
        <row r="380">
          <cell r="D380">
            <v>8751849.6099999994</v>
          </cell>
        </row>
        <row r="381">
          <cell r="D381">
            <v>4465211.54</v>
          </cell>
        </row>
        <row r="382">
          <cell r="D382">
            <v>4421933.17</v>
          </cell>
        </row>
        <row r="383">
          <cell r="D383">
            <v>109577.62</v>
          </cell>
        </row>
        <row r="384">
          <cell r="D384">
            <v>1124339.17</v>
          </cell>
        </row>
        <row r="385">
          <cell r="D385">
            <v>628219.66</v>
          </cell>
        </row>
        <row r="386">
          <cell r="D386">
            <v>1949535.16</v>
          </cell>
        </row>
        <row r="387">
          <cell r="D387">
            <v>2599742.21</v>
          </cell>
        </row>
        <row r="388">
          <cell r="D388">
            <v>1487822.42</v>
          </cell>
        </row>
        <row r="389">
          <cell r="D389">
            <v>547962.17000000004</v>
          </cell>
        </row>
        <row r="390">
          <cell r="D390">
            <v>5167243.95</v>
          </cell>
        </row>
        <row r="391">
          <cell r="D391">
            <v>5184433.45</v>
          </cell>
        </row>
        <row r="392">
          <cell r="D392">
            <v>1310585.47</v>
          </cell>
        </row>
        <row r="393">
          <cell r="D393">
            <v>0</v>
          </cell>
        </row>
        <row r="394">
          <cell r="D394">
            <v>613789.96</v>
          </cell>
        </row>
        <row r="395">
          <cell r="D395">
            <v>15136058.85</v>
          </cell>
        </row>
        <row r="396">
          <cell r="D396">
            <v>1371509.36</v>
          </cell>
        </row>
        <row r="397">
          <cell r="D397">
            <v>1637872.5</v>
          </cell>
        </row>
        <row r="398">
          <cell r="D398">
            <v>359686.17</v>
          </cell>
        </row>
        <row r="399">
          <cell r="D399">
            <v>1142992.3400000001</v>
          </cell>
        </row>
        <row r="400">
          <cell r="D400">
            <v>214401.47</v>
          </cell>
        </row>
        <row r="401">
          <cell r="D401">
            <v>766766.39</v>
          </cell>
        </row>
        <row r="402">
          <cell r="D402">
            <v>3268781.45</v>
          </cell>
        </row>
        <row r="403">
          <cell r="D403">
            <v>1018037.23</v>
          </cell>
        </row>
        <row r="404">
          <cell r="D404">
            <v>469164.39</v>
          </cell>
        </row>
        <row r="405">
          <cell r="D405">
            <v>3236873.32</v>
          </cell>
        </row>
        <row r="406">
          <cell r="D406">
            <v>2681776.2200000002</v>
          </cell>
        </row>
        <row r="407">
          <cell r="D407">
            <v>558323.4</v>
          </cell>
        </row>
        <row r="408">
          <cell r="D408">
            <v>167941.65</v>
          </cell>
        </row>
        <row r="409">
          <cell r="D409">
            <v>123806971.41</v>
          </cell>
        </row>
        <row r="410">
          <cell r="D410">
            <v>874290175.38999999</v>
          </cell>
        </row>
        <row r="411">
          <cell r="D411">
            <v>367583119.06</v>
          </cell>
        </row>
        <row r="412">
          <cell r="D412">
            <v>289130105.16000003</v>
          </cell>
        </row>
        <row r="413">
          <cell r="D413">
            <v>43463010.350000001</v>
          </cell>
        </row>
        <row r="414">
          <cell r="D414">
            <v>123551936.45999999</v>
          </cell>
        </row>
        <row r="415">
          <cell r="D415">
            <v>83953215.760000005</v>
          </cell>
        </row>
        <row r="416">
          <cell r="D416">
            <v>170496685.47999999</v>
          </cell>
        </row>
        <row r="417">
          <cell r="D417">
            <v>259937293.58000001</v>
          </cell>
        </row>
        <row r="418">
          <cell r="D418">
            <v>127009466.76000001</v>
          </cell>
        </row>
        <row r="419">
          <cell r="D419">
            <v>41083809.130000003</v>
          </cell>
        </row>
        <row r="420">
          <cell r="D420">
            <v>603501284.53999996</v>
          </cell>
        </row>
        <row r="421">
          <cell r="D421">
            <v>165930157.59</v>
          </cell>
        </row>
        <row r="422">
          <cell r="D422">
            <v>106099986.23</v>
          </cell>
        </row>
        <row r="423">
          <cell r="D423">
            <v>127768.71</v>
          </cell>
        </row>
        <row r="424">
          <cell r="D424">
            <v>184351386.47</v>
          </cell>
        </row>
        <row r="425">
          <cell r="D425">
            <v>592609183.51999998</v>
          </cell>
        </row>
        <row r="426">
          <cell r="D426">
            <v>386236241.10000002</v>
          </cell>
        </row>
        <row r="427">
          <cell r="D427">
            <v>291989622.17000002</v>
          </cell>
        </row>
        <row r="428">
          <cell r="D428">
            <v>54656614.420000002</v>
          </cell>
        </row>
        <row r="429">
          <cell r="D429">
            <v>146809006.59</v>
          </cell>
        </row>
        <row r="430">
          <cell r="D430">
            <v>112040848.59999999</v>
          </cell>
        </row>
        <row r="431">
          <cell r="D431">
            <v>230296993.06</v>
          </cell>
        </row>
        <row r="432">
          <cell r="D432">
            <v>226481112.00999999</v>
          </cell>
        </row>
        <row r="433">
          <cell r="D433">
            <v>154661955.63</v>
          </cell>
        </row>
        <row r="434">
          <cell r="D434">
            <v>42522406.799999997</v>
          </cell>
        </row>
        <row r="435">
          <cell r="D435">
            <v>467454790.38999999</v>
          </cell>
        </row>
        <row r="436">
          <cell r="D436">
            <v>160512955.59999999</v>
          </cell>
        </row>
        <row r="437">
          <cell r="D437">
            <v>132019293.15000001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_15 fleet"/>
    </sheetNames>
    <sheetDataSet>
      <sheetData sheetId="0">
        <row r="9">
          <cell r="D9">
            <v>114</v>
          </cell>
        </row>
        <row r="10">
          <cell r="D10">
            <v>407</v>
          </cell>
        </row>
        <row r="11">
          <cell r="D11">
            <v>2105</v>
          </cell>
        </row>
        <row r="12">
          <cell r="D12">
            <v>567</v>
          </cell>
        </row>
        <row r="13">
          <cell r="D13">
            <v>588</v>
          </cell>
        </row>
        <row r="14">
          <cell r="D14">
            <v>80</v>
          </cell>
        </row>
        <row r="15">
          <cell r="D15">
            <v>292</v>
          </cell>
        </row>
        <row r="16">
          <cell r="D16">
            <v>117</v>
          </cell>
        </row>
        <row r="17">
          <cell r="D17">
            <v>305</v>
          </cell>
        </row>
        <row r="18">
          <cell r="D18">
            <v>685</v>
          </cell>
        </row>
        <row r="19">
          <cell r="D19">
            <v>255</v>
          </cell>
        </row>
        <row r="20">
          <cell r="D20">
            <v>88</v>
          </cell>
        </row>
        <row r="21">
          <cell r="D21">
            <v>1241</v>
          </cell>
        </row>
        <row r="22">
          <cell r="D22">
            <v>512</v>
          </cell>
        </row>
        <row r="23">
          <cell r="D23">
            <v>304</v>
          </cell>
        </row>
        <row r="24">
          <cell r="D24">
            <v>43</v>
          </cell>
        </row>
        <row r="25">
          <cell r="D25">
            <v>92</v>
          </cell>
        </row>
        <row r="26">
          <cell r="D26">
            <v>265</v>
          </cell>
        </row>
        <row r="27">
          <cell r="D27">
            <v>201</v>
          </cell>
        </row>
        <row r="28">
          <cell r="D28">
            <v>162</v>
          </cell>
        </row>
        <row r="29">
          <cell r="D29">
            <v>26</v>
          </cell>
        </row>
        <row r="30">
          <cell r="D30">
            <v>64</v>
          </cell>
        </row>
        <row r="31">
          <cell r="D31">
            <v>86</v>
          </cell>
        </row>
        <row r="32">
          <cell r="D32">
            <v>102</v>
          </cell>
        </row>
        <row r="33">
          <cell r="D33">
            <v>54</v>
          </cell>
        </row>
        <row r="34">
          <cell r="D34">
            <v>105</v>
          </cell>
        </row>
        <row r="35">
          <cell r="D35">
            <v>46</v>
          </cell>
        </row>
        <row r="36">
          <cell r="D36">
            <v>366</v>
          </cell>
        </row>
        <row r="37">
          <cell r="D37">
            <v>88</v>
          </cell>
        </row>
        <row r="38">
          <cell r="D38">
            <v>80</v>
          </cell>
        </row>
        <row r="39">
          <cell r="D39">
            <v>1</v>
          </cell>
        </row>
        <row r="40">
          <cell r="D40">
            <v>80</v>
          </cell>
        </row>
        <row r="41">
          <cell r="D41">
            <v>668</v>
          </cell>
        </row>
        <row r="42">
          <cell r="D42">
            <v>115</v>
          </cell>
        </row>
        <row r="43">
          <cell r="D43">
            <v>130</v>
          </cell>
        </row>
        <row r="44">
          <cell r="D44">
            <v>2</v>
          </cell>
        </row>
        <row r="45">
          <cell r="D45">
            <v>49</v>
          </cell>
        </row>
        <row r="46">
          <cell r="D46">
            <v>20</v>
          </cell>
        </row>
        <row r="47">
          <cell r="D47">
            <v>45</v>
          </cell>
        </row>
        <row r="48">
          <cell r="D48">
            <v>143</v>
          </cell>
        </row>
        <row r="49">
          <cell r="D49">
            <v>50</v>
          </cell>
        </row>
        <row r="50">
          <cell r="D50">
            <v>18</v>
          </cell>
        </row>
        <row r="51">
          <cell r="D51">
            <v>329</v>
          </cell>
        </row>
        <row r="52">
          <cell r="D52">
            <v>189</v>
          </cell>
        </row>
        <row r="53">
          <cell r="D53">
            <v>34</v>
          </cell>
        </row>
        <row r="54">
          <cell r="D54">
            <v>1</v>
          </cell>
        </row>
        <row r="55">
          <cell r="D55">
            <v>61</v>
          </cell>
        </row>
        <row r="56">
          <cell r="D56">
            <v>3457</v>
          </cell>
        </row>
        <row r="57">
          <cell r="D57">
            <v>215</v>
          </cell>
        </row>
        <row r="58">
          <cell r="D58">
            <v>167</v>
          </cell>
        </row>
        <row r="59">
          <cell r="D59">
            <v>36</v>
          </cell>
        </row>
        <row r="60">
          <cell r="D60">
            <v>134</v>
          </cell>
        </row>
        <row r="61">
          <cell r="D61">
            <v>66</v>
          </cell>
        </row>
        <row r="62">
          <cell r="D62">
            <v>104</v>
          </cell>
        </row>
        <row r="63">
          <cell r="D63">
            <v>1227</v>
          </cell>
        </row>
        <row r="64">
          <cell r="D64">
            <v>100</v>
          </cell>
        </row>
        <row r="65">
          <cell r="D65">
            <v>11</v>
          </cell>
        </row>
        <row r="66">
          <cell r="D66">
            <v>662</v>
          </cell>
        </row>
        <row r="67">
          <cell r="D67">
            <v>313</v>
          </cell>
        </row>
        <row r="68">
          <cell r="D68">
            <v>63</v>
          </cell>
        </row>
        <row r="69">
          <cell r="D69">
            <v>266</v>
          </cell>
        </row>
        <row r="70">
          <cell r="D70">
            <v>7085</v>
          </cell>
        </row>
        <row r="71">
          <cell r="D71">
            <v>120614</v>
          </cell>
        </row>
        <row r="72">
          <cell r="D72">
            <v>25471</v>
          </cell>
        </row>
        <row r="73">
          <cell r="D73">
            <v>17908</v>
          </cell>
        </row>
        <row r="74">
          <cell r="D74">
            <v>1793</v>
          </cell>
        </row>
        <row r="75">
          <cell r="D75">
            <v>8645</v>
          </cell>
        </row>
        <row r="76">
          <cell r="D76">
            <v>5625</v>
          </cell>
        </row>
        <row r="77">
          <cell r="D77">
            <v>11736</v>
          </cell>
        </row>
        <row r="78">
          <cell r="D78">
            <v>25796</v>
          </cell>
        </row>
        <row r="79">
          <cell r="D79">
            <v>10193</v>
          </cell>
        </row>
        <row r="80">
          <cell r="D80">
            <v>1784</v>
          </cell>
        </row>
        <row r="81">
          <cell r="D81">
            <v>48938</v>
          </cell>
        </row>
        <row r="82">
          <cell r="D82">
            <v>13896</v>
          </cell>
        </row>
        <row r="83">
          <cell r="D83">
            <v>5303</v>
          </cell>
        </row>
        <row r="84">
          <cell r="D84">
            <v>10936</v>
          </cell>
        </row>
        <row r="85">
          <cell r="D85">
            <v>86601</v>
          </cell>
        </row>
        <row r="86">
          <cell r="D86">
            <v>857885</v>
          </cell>
        </row>
        <row r="87">
          <cell r="D87">
            <v>242679</v>
          </cell>
        </row>
        <row r="88">
          <cell r="D88">
            <v>179997</v>
          </cell>
        </row>
        <row r="89">
          <cell r="D89">
            <v>21483</v>
          </cell>
        </row>
        <row r="90">
          <cell r="D90">
            <v>87272</v>
          </cell>
        </row>
        <row r="91">
          <cell r="D91">
            <v>66118</v>
          </cell>
        </row>
        <row r="92">
          <cell r="D92">
            <v>131554</v>
          </cell>
        </row>
        <row r="93">
          <cell r="D93">
            <v>252104</v>
          </cell>
        </row>
        <row r="94">
          <cell r="D94">
            <v>93599</v>
          </cell>
        </row>
        <row r="95">
          <cell r="D95">
            <v>18209</v>
          </cell>
        </row>
        <row r="96">
          <cell r="D96">
            <v>390772</v>
          </cell>
        </row>
        <row r="97">
          <cell r="D97">
            <v>115504</v>
          </cell>
        </row>
        <row r="98">
          <cell r="D98">
            <v>62256</v>
          </cell>
        </row>
        <row r="99">
          <cell r="D99">
            <v>76</v>
          </cell>
        </row>
        <row r="100">
          <cell r="D100">
            <v>100</v>
          </cell>
        </row>
        <row r="101">
          <cell r="D101">
            <v>1832</v>
          </cell>
        </row>
        <row r="102">
          <cell r="D102">
            <v>513</v>
          </cell>
        </row>
        <row r="103">
          <cell r="D103">
            <v>339</v>
          </cell>
        </row>
        <row r="104">
          <cell r="D104">
            <v>36</v>
          </cell>
        </row>
        <row r="105">
          <cell r="D105">
            <v>125</v>
          </cell>
        </row>
        <row r="106">
          <cell r="D106">
            <v>156</v>
          </cell>
        </row>
        <row r="107">
          <cell r="D107">
            <v>307</v>
          </cell>
        </row>
        <row r="108">
          <cell r="D108">
            <v>582</v>
          </cell>
        </row>
        <row r="109">
          <cell r="D109">
            <v>230</v>
          </cell>
        </row>
        <row r="110">
          <cell r="D110">
            <v>28</v>
          </cell>
        </row>
        <row r="111">
          <cell r="D111">
            <v>877</v>
          </cell>
        </row>
        <row r="112">
          <cell r="D112">
            <v>288</v>
          </cell>
        </row>
        <row r="113">
          <cell r="D113">
            <v>127</v>
          </cell>
        </row>
        <row r="114">
          <cell r="D114">
            <v>1914</v>
          </cell>
        </row>
        <row r="115">
          <cell r="D115">
            <v>4232</v>
          </cell>
        </row>
        <row r="116">
          <cell r="D116">
            <v>34896</v>
          </cell>
        </row>
        <row r="117">
          <cell r="D117">
            <v>13711</v>
          </cell>
        </row>
        <row r="118">
          <cell r="D118">
            <v>10867</v>
          </cell>
        </row>
        <row r="119">
          <cell r="D119">
            <v>1237</v>
          </cell>
        </row>
        <row r="120">
          <cell r="D120">
            <v>4941</v>
          </cell>
        </row>
        <row r="121">
          <cell r="D121">
            <v>5412</v>
          </cell>
        </row>
        <row r="122">
          <cell r="D122">
            <v>9328</v>
          </cell>
        </row>
        <row r="123">
          <cell r="D123">
            <v>16464</v>
          </cell>
        </row>
        <row r="124">
          <cell r="D124">
            <v>8084</v>
          </cell>
        </row>
        <row r="125">
          <cell r="D125">
            <v>1787</v>
          </cell>
        </row>
        <row r="126">
          <cell r="D126">
            <v>24791</v>
          </cell>
        </row>
        <row r="127">
          <cell r="D127">
            <v>7362</v>
          </cell>
        </row>
        <row r="128">
          <cell r="D128">
            <v>4031</v>
          </cell>
        </row>
        <row r="129">
          <cell r="D129">
            <v>8894</v>
          </cell>
        </row>
        <row r="130">
          <cell r="D130">
            <v>3078</v>
          </cell>
        </row>
        <row r="131">
          <cell r="D131">
            <v>21022</v>
          </cell>
        </row>
        <row r="132">
          <cell r="D132">
            <v>9720</v>
          </cell>
        </row>
        <row r="133">
          <cell r="D133">
            <v>6598</v>
          </cell>
        </row>
        <row r="134">
          <cell r="D134">
            <v>997</v>
          </cell>
        </row>
        <row r="135">
          <cell r="D135">
            <v>3157</v>
          </cell>
        </row>
        <row r="136">
          <cell r="D136">
            <v>2603</v>
          </cell>
        </row>
        <row r="137">
          <cell r="D137">
            <v>5236</v>
          </cell>
        </row>
        <row r="138">
          <cell r="D138">
            <v>5146</v>
          </cell>
        </row>
        <row r="139">
          <cell r="D139">
            <v>3382</v>
          </cell>
        </row>
        <row r="140">
          <cell r="D140">
            <v>998</v>
          </cell>
        </row>
        <row r="141">
          <cell r="D141">
            <v>15902</v>
          </cell>
        </row>
        <row r="142">
          <cell r="D142">
            <v>3928</v>
          </cell>
        </row>
        <row r="143">
          <cell r="D143">
            <v>2723</v>
          </cell>
        </row>
        <row r="144">
          <cell r="D144">
            <v>7487</v>
          </cell>
        </row>
        <row r="145">
          <cell r="D145">
            <v>3224</v>
          </cell>
        </row>
        <row r="146">
          <cell r="D146">
            <v>9009</v>
          </cell>
        </row>
        <row r="147">
          <cell r="D147">
            <v>7712</v>
          </cell>
        </row>
        <row r="148">
          <cell r="D148">
            <v>5002</v>
          </cell>
        </row>
        <row r="149">
          <cell r="D149">
            <v>819</v>
          </cell>
        </row>
        <row r="150">
          <cell r="D150">
            <v>2364</v>
          </cell>
        </row>
        <row r="151">
          <cell r="D151">
            <v>2363</v>
          </cell>
        </row>
        <row r="152">
          <cell r="D152">
            <v>4373</v>
          </cell>
        </row>
        <row r="153">
          <cell r="D153">
            <v>2724</v>
          </cell>
        </row>
        <row r="154">
          <cell r="D154">
            <v>3388</v>
          </cell>
        </row>
        <row r="155">
          <cell r="D155">
            <v>740</v>
          </cell>
        </row>
        <row r="156">
          <cell r="D156">
            <v>10011</v>
          </cell>
        </row>
        <row r="157">
          <cell r="D157">
            <v>2740</v>
          </cell>
        </row>
        <row r="158">
          <cell r="D158">
            <v>2173</v>
          </cell>
        </row>
        <row r="159">
          <cell r="D159">
            <v>0</v>
          </cell>
        </row>
        <row r="160">
          <cell r="D160">
            <v>58</v>
          </cell>
        </row>
        <row r="161">
          <cell r="D161">
            <v>359</v>
          </cell>
        </row>
        <row r="162">
          <cell r="D162">
            <v>166</v>
          </cell>
        </row>
        <row r="163">
          <cell r="D163">
            <v>151</v>
          </cell>
        </row>
        <row r="164">
          <cell r="D164">
            <v>10</v>
          </cell>
        </row>
        <row r="165">
          <cell r="D165">
            <v>52</v>
          </cell>
        </row>
        <row r="166">
          <cell r="D166">
            <v>26</v>
          </cell>
        </row>
        <row r="167">
          <cell r="D167">
            <v>69</v>
          </cell>
        </row>
        <row r="168">
          <cell r="D168">
            <v>82</v>
          </cell>
        </row>
        <row r="169">
          <cell r="D169">
            <v>61</v>
          </cell>
        </row>
        <row r="170">
          <cell r="D170">
            <v>41</v>
          </cell>
        </row>
        <row r="171">
          <cell r="D171">
            <v>225</v>
          </cell>
        </row>
        <row r="172">
          <cell r="D172">
            <v>212</v>
          </cell>
        </row>
        <row r="173">
          <cell r="D173">
            <v>62</v>
          </cell>
        </row>
        <row r="174">
          <cell r="D174">
            <v>0</v>
          </cell>
        </row>
        <row r="175">
          <cell r="D175">
            <v>18</v>
          </cell>
        </row>
        <row r="176">
          <cell r="D176">
            <v>360</v>
          </cell>
        </row>
        <row r="177">
          <cell r="D177">
            <v>45</v>
          </cell>
        </row>
        <row r="178">
          <cell r="D178">
            <v>65</v>
          </cell>
        </row>
        <row r="179">
          <cell r="D179">
            <v>15</v>
          </cell>
        </row>
        <row r="180">
          <cell r="D180">
            <v>27</v>
          </cell>
        </row>
        <row r="181">
          <cell r="D181">
            <v>10</v>
          </cell>
        </row>
        <row r="182">
          <cell r="D182">
            <v>28</v>
          </cell>
        </row>
        <row r="183">
          <cell r="D183">
            <v>64</v>
          </cell>
        </row>
        <row r="184">
          <cell r="D184">
            <v>44</v>
          </cell>
        </row>
        <row r="185">
          <cell r="D185">
            <v>12</v>
          </cell>
        </row>
        <row r="186">
          <cell r="D186">
            <v>118</v>
          </cell>
        </row>
        <row r="187">
          <cell r="D187">
            <v>105</v>
          </cell>
        </row>
        <row r="188">
          <cell r="D188">
            <v>29</v>
          </cell>
        </row>
        <row r="189">
          <cell r="D189">
            <v>120</v>
          </cell>
        </row>
        <row r="190">
          <cell r="D190">
            <v>6628</v>
          </cell>
        </row>
        <row r="191">
          <cell r="D191">
            <v>51311</v>
          </cell>
        </row>
        <row r="192">
          <cell r="D192">
            <v>19608</v>
          </cell>
        </row>
        <row r="193">
          <cell r="D193">
            <v>15186</v>
          </cell>
        </row>
        <row r="194">
          <cell r="D194">
            <v>2312</v>
          </cell>
        </row>
        <row r="195">
          <cell r="D195">
            <v>7149</v>
          </cell>
        </row>
        <row r="196">
          <cell r="D196">
            <v>4818</v>
          </cell>
        </row>
        <row r="197">
          <cell r="D197">
            <v>9478</v>
          </cell>
        </row>
        <row r="198">
          <cell r="D198">
            <v>14628</v>
          </cell>
        </row>
        <row r="199">
          <cell r="D199">
            <v>8080</v>
          </cell>
        </row>
        <row r="200">
          <cell r="D200">
            <v>2018</v>
          </cell>
        </row>
        <row r="201">
          <cell r="D201">
            <v>34850</v>
          </cell>
        </row>
        <row r="202">
          <cell r="D202">
            <v>9500</v>
          </cell>
        </row>
        <row r="203">
          <cell r="D203">
            <v>5767</v>
          </cell>
        </row>
        <row r="204">
          <cell r="D204">
            <v>1887</v>
          </cell>
        </row>
        <row r="205">
          <cell r="D205">
            <v>16116</v>
          </cell>
        </row>
        <row r="206">
          <cell r="D206">
            <v>52741</v>
          </cell>
        </row>
        <row r="207">
          <cell r="D207">
            <v>33455</v>
          </cell>
        </row>
        <row r="208">
          <cell r="D208">
            <v>27065</v>
          </cell>
        </row>
        <row r="209">
          <cell r="D209">
            <v>5104</v>
          </cell>
        </row>
        <row r="210">
          <cell r="D210">
            <v>13631</v>
          </cell>
        </row>
        <row r="211">
          <cell r="D211">
            <v>10489</v>
          </cell>
        </row>
        <row r="212">
          <cell r="D212">
            <v>21067</v>
          </cell>
        </row>
        <row r="213">
          <cell r="D213">
            <v>20524</v>
          </cell>
        </row>
        <row r="214">
          <cell r="D214">
            <v>16395</v>
          </cell>
        </row>
        <row r="215">
          <cell r="D215">
            <v>4131</v>
          </cell>
        </row>
        <row r="216">
          <cell r="D216">
            <v>44289</v>
          </cell>
        </row>
        <row r="217">
          <cell r="D217">
            <v>15661</v>
          </cell>
        </row>
        <row r="218">
          <cell r="D218">
            <v>12001</v>
          </cell>
        </row>
        <row r="228">
          <cell r="D228">
            <v>5628055.75</v>
          </cell>
        </row>
        <row r="229">
          <cell r="D229">
            <v>9242429.5700000003</v>
          </cell>
        </row>
        <row r="230">
          <cell r="D230">
            <v>88450308.930000007</v>
          </cell>
        </row>
        <row r="231">
          <cell r="D231">
            <v>14097415.09</v>
          </cell>
        </row>
        <row r="232">
          <cell r="D232">
            <v>14684578.58</v>
          </cell>
        </row>
        <row r="233">
          <cell r="D233">
            <v>1448704.55</v>
          </cell>
        </row>
        <row r="234">
          <cell r="D234">
            <v>4681610.2300000004</v>
          </cell>
        </row>
        <row r="235">
          <cell r="D235">
            <v>2442661.2599999998</v>
          </cell>
        </row>
        <row r="236">
          <cell r="D236">
            <v>6742668.8399999999</v>
          </cell>
        </row>
        <row r="237">
          <cell r="D237">
            <v>21875432.170000002</v>
          </cell>
        </row>
        <row r="238">
          <cell r="D238">
            <v>5857451.9299999997</v>
          </cell>
        </row>
        <row r="239">
          <cell r="D239">
            <v>1789867.71</v>
          </cell>
        </row>
        <row r="240">
          <cell r="D240">
            <v>43135713.310000002</v>
          </cell>
        </row>
        <row r="241">
          <cell r="D241">
            <v>14915818.27</v>
          </cell>
        </row>
        <row r="242">
          <cell r="D242">
            <v>6172173.7000000002</v>
          </cell>
        </row>
        <row r="243">
          <cell r="D243">
            <v>21331.439999999999</v>
          </cell>
        </row>
        <row r="244">
          <cell r="D244">
            <v>880098.89</v>
          </cell>
        </row>
        <row r="245">
          <cell r="D245">
            <v>4301001.6100000003</v>
          </cell>
        </row>
        <row r="246">
          <cell r="D246">
            <v>2706018.08</v>
          </cell>
        </row>
        <row r="247">
          <cell r="D247">
            <v>1895857.52</v>
          </cell>
        </row>
        <row r="248">
          <cell r="D248">
            <v>353396.65</v>
          </cell>
        </row>
        <row r="249">
          <cell r="D249">
            <v>426620.37</v>
          </cell>
        </row>
        <row r="250">
          <cell r="D250">
            <v>1299758.57</v>
          </cell>
        </row>
        <row r="251">
          <cell r="D251">
            <v>1004430.39</v>
          </cell>
        </row>
        <row r="252">
          <cell r="D252">
            <v>561921.14</v>
          </cell>
        </row>
        <row r="253">
          <cell r="D253">
            <v>1273354.93</v>
          </cell>
        </row>
        <row r="254">
          <cell r="D254">
            <v>605246.9</v>
          </cell>
        </row>
        <row r="255">
          <cell r="D255">
            <v>5153839.1100000003</v>
          </cell>
        </row>
        <row r="256">
          <cell r="D256">
            <v>940436.95</v>
          </cell>
        </row>
        <row r="257">
          <cell r="D257">
            <v>933308.86</v>
          </cell>
        </row>
        <row r="258">
          <cell r="D258">
            <v>0</v>
          </cell>
        </row>
        <row r="259">
          <cell r="D259">
            <v>2308489.16</v>
          </cell>
        </row>
        <row r="260">
          <cell r="D260">
            <v>18200266.66</v>
          </cell>
        </row>
        <row r="261">
          <cell r="D261">
            <v>3349047.17</v>
          </cell>
        </row>
        <row r="262">
          <cell r="D262">
            <v>3121985.29</v>
          </cell>
        </row>
        <row r="263">
          <cell r="D263">
            <v>10092.74</v>
          </cell>
        </row>
        <row r="264">
          <cell r="D264">
            <v>965635.63</v>
          </cell>
        </row>
        <row r="265">
          <cell r="D265">
            <v>458698.75</v>
          </cell>
        </row>
        <row r="266">
          <cell r="D266">
            <v>1101592.71</v>
          </cell>
        </row>
        <row r="267">
          <cell r="D267">
            <v>4097137.94</v>
          </cell>
        </row>
        <row r="268">
          <cell r="D268">
            <v>820660.71</v>
          </cell>
        </row>
        <row r="269">
          <cell r="D269">
            <v>368098.72</v>
          </cell>
        </row>
        <row r="270">
          <cell r="D270">
            <v>8512833.9900000002</v>
          </cell>
        </row>
        <row r="271">
          <cell r="D271">
            <v>4925012.91</v>
          </cell>
        </row>
        <row r="272">
          <cell r="D272">
            <v>489193.16</v>
          </cell>
        </row>
        <row r="273">
          <cell r="D273">
            <v>0</v>
          </cell>
        </row>
        <row r="274">
          <cell r="D274">
            <v>1461935.44</v>
          </cell>
        </row>
        <row r="275">
          <cell r="D275">
            <v>121574965.11</v>
          </cell>
        </row>
        <row r="276">
          <cell r="D276">
            <v>6317064.6399999997</v>
          </cell>
        </row>
        <row r="277">
          <cell r="D277">
            <v>5841323.4699999997</v>
          </cell>
        </row>
        <row r="278">
          <cell r="D278">
            <v>967727.73</v>
          </cell>
        </row>
        <row r="279">
          <cell r="D279">
            <v>3947682.75</v>
          </cell>
        </row>
        <row r="280">
          <cell r="D280">
            <v>2609231.73</v>
          </cell>
        </row>
        <row r="281">
          <cell r="D281">
            <v>3587276.49</v>
          </cell>
        </row>
        <row r="282">
          <cell r="D282">
            <v>46761406.390000001</v>
          </cell>
        </row>
        <row r="283">
          <cell r="D283">
            <v>2650289.2599999998</v>
          </cell>
        </row>
        <row r="284">
          <cell r="D284">
            <v>403346.16</v>
          </cell>
        </row>
        <row r="285">
          <cell r="D285">
            <v>20377071.300000001</v>
          </cell>
        </row>
        <row r="286">
          <cell r="D286">
            <v>9884411.0099999998</v>
          </cell>
        </row>
        <row r="287">
          <cell r="D287">
            <v>1987719.09</v>
          </cell>
        </row>
        <row r="288">
          <cell r="D288">
            <v>359901.36</v>
          </cell>
        </row>
        <row r="289">
          <cell r="D289">
            <v>128079547.91</v>
          </cell>
        </row>
        <row r="290">
          <cell r="D290">
            <v>1855405794.72</v>
          </cell>
        </row>
        <row r="291">
          <cell r="D291">
            <v>460280865.68000001</v>
          </cell>
        </row>
        <row r="292">
          <cell r="D292">
            <v>312635118.50999999</v>
          </cell>
        </row>
        <row r="293">
          <cell r="D293">
            <v>25583762.940000001</v>
          </cell>
        </row>
        <row r="294">
          <cell r="D294">
            <v>133259850.65000001</v>
          </cell>
        </row>
        <row r="295">
          <cell r="D295">
            <v>87325590.060000002</v>
          </cell>
        </row>
        <row r="296">
          <cell r="D296">
            <v>195660137.61000001</v>
          </cell>
        </row>
        <row r="297">
          <cell r="D297">
            <v>414506417.08999997</v>
          </cell>
        </row>
        <row r="298">
          <cell r="D298">
            <v>140533967.65000001</v>
          </cell>
        </row>
        <row r="299">
          <cell r="D299">
            <v>31709439.030000001</v>
          </cell>
        </row>
        <row r="300">
          <cell r="D300">
            <v>792676139.59000003</v>
          </cell>
        </row>
        <row r="301">
          <cell r="D301">
            <v>241036178.78999999</v>
          </cell>
        </row>
        <row r="302">
          <cell r="D302">
            <v>89418226.290000007</v>
          </cell>
        </row>
        <row r="303">
          <cell r="D303">
            <v>237028.05</v>
          </cell>
        </row>
        <row r="304">
          <cell r="D304">
            <v>972557972.01999998</v>
          </cell>
        </row>
        <row r="305">
          <cell r="D305">
            <v>9008375233.5100002</v>
          </cell>
        </row>
        <row r="306">
          <cell r="D306">
            <v>2776452350.1399999</v>
          </cell>
        </row>
        <row r="307">
          <cell r="D307">
            <v>1984596844.5999999</v>
          </cell>
        </row>
        <row r="308">
          <cell r="D308">
            <v>204855937.02000001</v>
          </cell>
        </row>
        <row r="309">
          <cell r="D309">
            <v>891144355.13</v>
          </cell>
        </row>
        <row r="310">
          <cell r="D310">
            <v>681783374.21000004</v>
          </cell>
        </row>
        <row r="311">
          <cell r="D311">
            <v>1349466634.1300001</v>
          </cell>
        </row>
        <row r="312">
          <cell r="D312">
            <v>2590635903.6700001</v>
          </cell>
        </row>
        <row r="313">
          <cell r="D313">
            <v>827572456.22000003</v>
          </cell>
        </row>
        <row r="314">
          <cell r="D314">
            <v>183416072.88999999</v>
          </cell>
        </row>
        <row r="315">
          <cell r="D315">
            <v>3780872569.04</v>
          </cell>
        </row>
        <row r="316">
          <cell r="D316">
            <v>1097888452.25</v>
          </cell>
        </row>
        <row r="317">
          <cell r="D317">
            <v>613125062.96000004</v>
          </cell>
        </row>
        <row r="318">
          <cell r="D318">
            <v>3479276.28</v>
          </cell>
        </row>
        <row r="319">
          <cell r="D319">
            <v>423973.77</v>
          </cell>
        </row>
        <row r="320">
          <cell r="D320">
            <v>7929719.2999999998</v>
          </cell>
        </row>
        <row r="321">
          <cell r="D321">
            <v>1950341.54</v>
          </cell>
        </row>
        <row r="322">
          <cell r="D322">
            <v>1360698.74</v>
          </cell>
        </row>
        <row r="323">
          <cell r="D323">
            <v>105800.26</v>
          </cell>
        </row>
        <row r="324">
          <cell r="D324">
            <v>498713.88</v>
          </cell>
        </row>
        <row r="325">
          <cell r="D325">
            <v>481161.35</v>
          </cell>
        </row>
        <row r="326">
          <cell r="D326">
            <v>1085058.8600000001</v>
          </cell>
        </row>
        <row r="327">
          <cell r="D327">
            <v>2316465.36</v>
          </cell>
        </row>
        <row r="328">
          <cell r="D328">
            <v>540256.13</v>
          </cell>
        </row>
        <row r="329">
          <cell r="D329">
            <v>98934.76</v>
          </cell>
        </row>
        <row r="330">
          <cell r="D330">
            <v>4740126.6900000004</v>
          </cell>
        </row>
        <row r="331">
          <cell r="D331">
            <v>893126.71</v>
          </cell>
        </row>
        <row r="332">
          <cell r="D332">
            <v>298921.65000000002</v>
          </cell>
        </row>
        <row r="333">
          <cell r="D333">
            <v>9540817.0600000005</v>
          </cell>
        </row>
        <row r="334">
          <cell r="D334">
            <v>11271442.09</v>
          </cell>
        </row>
        <row r="335">
          <cell r="D335">
            <v>96578518.670000002</v>
          </cell>
        </row>
        <row r="336">
          <cell r="D336">
            <v>36343530.060000002</v>
          </cell>
        </row>
        <row r="337">
          <cell r="D337">
            <v>29293699.420000002</v>
          </cell>
        </row>
        <row r="338">
          <cell r="D338">
            <v>2499610.27</v>
          </cell>
        </row>
        <row r="339">
          <cell r="D339">
            <v>11906049.76</v>
          </cell>
        </row>
        <row r="340">
          <cell r="D340">
            <v>11843615.470000001</v>
          </cell>
        </row>
        <row r="341">
          <cell r="D341">
            <v>22316071</v>
          </cell>
        </row>
        <row r="342">
          <cell r="D342">
            <v>43817689.710000001</v>
          </cell>
        </row>
        <row r="343">
          <cell r="D343">
            <v>18316824.649999999</v>
          </cell>
        </row>
        <row r="344">
          <cell r="D344">
            <v>4067115.67</v>
          </cell>
        </row>
        <row r="345">
          <cell r="D345">
            <v>53517759.850000001</v>
          </cell>
        </row>
        <row r="346">
          <cell r="D346">
            <v>15284791.02</v>
          </cell>
        </row>
        <row r="347">
          <cell r="D347">
            <v>7180555.7300000004</v>
          </cell>
        </row>
        <row r="348">
          <cell r="D348">
            <v>23265309.629999999</v>
          </cell>
        </row>
        <row r="349">
          <cell r="D349">
            <v>96903744.319999993</v>
          </cell>
        </row>
        <row r="350">
          <cell r="D350">
            <v>551033879.85000002</v>
          </cell>
        </row>
        <row r="351">
          <cell r="D351">
            <v>271778563.02999997</v>
          </cell>
        </row>
        <row r="352">
          <cell r="D352">
            <v>224064444.13</v>
          </cell>
        </row>
        <row r="353">
          <cell r="D353">
            <v>27541415.75</v>
          </cell>
        </row>
        <row r="354">
          <cell r="D354">
            <v>87156054.290000007</v>
          </cell>
        </row>
        <row r="355">
          <cell r="D355">
            <v>76099259.359999999</v>
          </cell>
        </row>
        <row r="356">
          <cell r="D356">
            <v>141410686.44999999</v>
          </cell>
        </row>
        <row r="357">
          <cell r="D357">
            <v>123360275.12</v>
          </cell>
        </row>
        <row r="358">
          <cell r="D358">
            <v>85333273.890000001</v>
          </cell>
        </row>
        <row r="359">
          <cell r="D359">
            <v>28231742.190000001</v>
          </cell>
        </row>
        <row r="360">
          <cell r="D360">
            <v>388450149.23000002</v>
          </cell>
        </row>
        <row r="361">
          <cell r="D361">
            <v>99707844.25</v>
          </cell>
        </row>
        <row r="362">
          <cell r="D362">
            <v>81937913.689999998</v>
          </cell>
        </row>
        <row r="363">
          <cell r="D363">
            <v>19049695.309999999</v>
          </cell>
        </row>
        <row r="364">
          <cell r="D364">
            <v>29383570.640000001</v>
          </cell>
        </row>
        <row r="365">
          <cell r="D365">
            <v>105018312.91</v>
          </cell>
        </row>
        <row r="366">
          <cell r="D366">
            <v>63799078.079999998</v>
          </cell>
        </row>
        <row r="367">
          <cell r="D367">
            <v>42341620.329999998</v>
          </cell>
        </row>
        <row r="368">
          <cell r="D368">
            <v>6452506.9800000004</v>
          </cell>
        </row>
        <row r="369">
          <cell r="D369">
            <v>18316625.949999999</v>
          </cell>
        </row>
        <row r="370">
          <cell r="D370">
            <v>19439673.010000002</v>
          </cell>
        </row>
        <row r="371">
          <cell r="D371">
            <v>37538993.299999997</v>
          </cell>
        </row>
        <row r="372">
          <cell r="D372">
            <v>25220719.120000001</v>
          </cell>
        </row>
        <row r="373">
          <cell r="D373">
            <v>21172318.719999999</v>
          </cell>
        </row>
        <row r="374">
          <cell r="D374">
            <v>4610996.6500000004</v>
          </cell>
        </row>
        <row r="375">
          <cell r="D375">
            <v>75717155.489999995</v>
          </cell>
        </row>
        <row r="376">
          <cell r="D376">
            <v>20302026.75</v>
          </cell>
        </row>
        <row r="377">
          <cell r="D377">
            <v>16506383.720000001</v>
          </cell>
        </row>
        <row r="378">
          <cell r="D378">
            <v>0</v>
          </cell>
        </row>
        <row r="379">
          <cell r="D379">
            <v>1085618.21</v>
          </cell>
        </row>
        <row r="380">
          <cell r="D380">
            <v>10424809.470000001</v>
          </cell>
        </row>
        <row r="381">
          <cell r="D381">
            <v>4667789.1900000004</v>
          </cell>
        </row>
        <row r="382">
          <cell r="D382">
            <v>3840887.98</v>
          </cell>
        </row>
        <row r="383">
          <cell r="D383">
            <v>204394.09</v>
          </cell>
        </row>
        <row r="384">
          <cell r="D384">
            <v>1018661.32</v>
          </cell>
        </row>
        <row r="385">
          <cell r="D385">
            <v>633601.26</v>
          </cell>
        </row>
        <row r="386">
          <cell r="D386">
            <v>1851424.58</v>
          </cell>
        </row>
        <row r="387">
          <cell r="D387">
            <v>3330246.61</v>
          </cell>
        </row>
        <row r="388">
          <cell r="D388">
            <v>1574443.49</v>
          </cell>
        </row>
        <row r="389">
          <cell r="D389">
            <v>762116.14</v>
          </cell>
        </row>
        <row r="390">
          <cell r="D390">
            <v>4941152.5999999996</v>
          </cell>
        </row>
        <row r="391">
          <cell r="D391">
            <v>5487991.2800000003</v>
          </cell>
        </row>
        <row r="392">
          <cell r="D392">
            <v>1221529.28</v>
          </cell>
        </row>
        <row r="393">
          <cell r="D393">
            <v>0</v>
          </cell>
        </row>
        <row r="394">
          <cell r="D394">
            <v>546540.15</v>
          </cell>
        </row>
        <row r="395">
          <cell r="D395">
            <v>14032304.43</v>
          </cell>
        </row>
        <row r="396">
          <cell r="D396">
            <v>1218892.1599999999</v>
          </cell>
        </row>
        <row r="397">
          <cell r="D397">
            <v>1773134.44</v>
          </cell>
        </row>
        <row r="398">
          <cell r="D398">
            <v>365270.22</v>
          </cell>
        </row>
        <row r="399">
          <cell r="D399">
            <v>1118623.23</v>
          </cell>
        </row>
        <row r="400">
          <cell r="D400">
            <v>226056.66</v>
          </cell>
        </row>
        <row r="401">
          <cell r="D401">
            <v>629799.69999999995</v>
          </cell>
        </row>
        <row r="402">
          <cell r="D402">
            <v>2508899.75</v>
          </cell>
        </row>
        <row r="403">
          <cell r="D403">
            <v>1003307.07</v>
          </cell>
        </row>
        <row r="404">
          <cell r="D404">
            <v>258937.61</v>
          </cell>
        </row>
        <row r="405">
          <cell r="D405">
            <v>3206618.4</v>
          </cell>
        </row>
        <row r="406">
          <cell r="D406">
            <v>2690695.15</v>
          </cell>
        </row>
        <row r="407">
          <cell r="D407">
            <v>499826.28</v>
          </cell>
        </row>
        <row r="408">
          <cell r="D408">
            <v>209252.14</v>
          </cell>
        </row>
        <row r="409">
          <cell r="D409">
            <v>131007943.06</v>
          </cell>
        </row>
        <row r="410">
          <cell r="D410">
            <v>942887480.38999999</v>
          </cell>
        </row>
        <row r="411">
          <cell r="D411">
            <v>398304322.50999999</v>
          </cell>
        </row>
        <row r="412">
          <cell r="D412">
            <v>301297608.31999999</v>
          </cell>
        </row>
        <row r="413">
          <cell r="D413">
            <v>43647498.200000003</v>
          </cell>
        </row>
        <row r="414">
          <cell r="D414">
            <v>129009779.51000001</v>
          </cell>
        </row>
        <row r="415">
          <cell r="D415">
            <v>86311917.109999999</v>
          </cell>
        </row>
        <row r="416">
          <cell r="D416">
            <v>178628060.13</v>
          </cell>
        </row>
        <row r="417">
          <cell r="D417">
            <v>271323969.69999999</v>
          </cell>
        </row>
        <row r="418">
          <cell r="D418">
            <v>135924152.16</v>
          </cell>
        </row>
        <row r="419">
          <cell r="D419">
            <v>39788713.170000002</v>
          </cell>
        </row>
        <row r="420">
          <cell r="D420">
            <v>652116717.12</v>
          </cell>
        </row>
        <row r="421">
          <cell r="D421">
            <v>177662609.75</v>
          </cell>
        </row>
        <row r="422">
          <cell r="D422">
            <v>113937312.28</v>
          </cell>
        </row>
        <row r="423">
          <cell r="D423">
            <v>104310.13</v>
          </cell>
        </row>
        <row r="424">
          <cell r="D424">
            <v>193088848.56999999</v>
          </cell>
        </row>
        <row r="425">
          <cell r="D425">
            <v>647469023.57000005</v>
          </cell>
        </row>
        <row r="426">
          <cell r="D426">
            <v>411532391.35000002</v>
          </cell>
        </row>
        <row r="427">
          <cell r="D427">
            <v>314656141.95999998</v>
          </cell>
        </row>
        <row r="428">
          <cell r="D428">
            <v>58627732</v>
          </cell>
        </row>
        <row r="429">
          <cell r="D429">
            <v>153365275.59999999</v>
          </cell>
        </row>
        <row r="430">
          <cell r="D430">
            <v>118347733.37</v>
          </cell>
        </row>
        <row r="431">
          <cell r="D431">
            <v>243538095.84</v>
          </cell>
        </row>
        <row r="432">
          <cell r="D432">
            <v>237525111.80000001</v>
          </cell>
        </row>
        <row r="433">
          <cell r="D433">
            <v>163981485.58000001</v>
          </cell>
        </row>
        <row r="434">
          <cell r="D434">
            <v>44350255.280000001</v>
          </cell>
        </row>
        <row r="435">
          <cell r="D435">
            <v>497619710.41000003</v>
          </cell>
        </row>
        <row r="436">
          <cell r="D436">
            <v>171898544.19</v>
          </cell>
        </row>
        <row r="437">
          <cell r="D437">
            <v>138324247.56999999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_16 fleet"/>
    </sheetNames>
    <sheetDataSet>
      <sheetData sheetId="0">
        <row r="9">
          <cell r="D9">
            <v>113</v>
          </cell>
        </row>
        <row r="10">
          <cell r="D10">
            <v>394</v>
          </cell>
        </row>
        <row r="11">
          <cell r="D11">
            <v>2277</v>
          </cell>
        </row>
        <row r="12">
          <cell r="D12">
            <v>608</v>
          </cell>
        </row>
        <row r="13">
          <cell r="D13">
            <v>618</v>
          </cell>
        </row>
        <row r="14">
          <cell r="D14">
            <v>85</v>
          </cell>
        </row>
        <row r="15">
          <cell r="D15">
            <v>301</v>
          </cell>
        </row>
        <row r="16">
          <cell r="D16">
            <v>113</v>
          </cell>
        </row>
        <row r="17">
          <cell r="D17">
            <v>312</v>
          </cell>
        </row>
        <row r="18">
          <cell r="D18">
            <v>683</v>
          </cell>
        </row>
        <row r="19">
          <cell r="D19">
            <v>266</v>
          </cell>
        </row>
        <row r="20">
          <cell r="D20">
            <v>82</v>
          </cell>
        </row>
        <row r="21">
          <cell r="D21">
            <v>1324</v>
          </cell>
        </row>
        <row r="22">
          <cell r="D22">
            <v>509</v>
          </cell>
        </row>
        <row r="23">
          <cell r="D23">
            <v>311</v>
          </cell>
        </row>
        <row r="24">
          <cell r="D24">
            <v>42</v>
          </cell>
        </row>
        <row r="25">
          <cell r="D25">
            <v>99</v>
          </cell>
        </row>
        <row r="26">
          <cell r="D26">
            <v>260</v>
          </cell>
        </row>
        <row r="27">
          <cell r="D27">
            <v>204</v>
          </cell>
        </row>
        <row r="28">
          <cell r="D28">
            <v>165</v>
          </cell>
        </row>
        <row r="29">
          <cell r="D29">
            <v>26</v>
          </cell>
        </row>
        <row r="30">
          <cell r="D30">
            <v>60</v>
          </cell>
        </row>
        <row r="31">
          <cell r="D31">
            <v>84</v>
          </cell>
        </row>
        <row r="32">
          <cell r="D32">
            <v>98</v>
          </cell>
        </row>
        <row r="33">
          <cell r="D33">
            <v>61</v>
          </cell>
        </row>
        <row r="34">
          <cell r="D34">
            <v>109</v>
          </cell>
        </row>
        <row r="35">
          <cell r="D35">
            <v>42</v>
          </cell>
        </row>
        <row r="36">
          <cell r="D36">
            <v>369</v>
          </cell>
        </row>
        <row r="37">
          <cell r="D37">
            <v>94</v>
          </cell>
        </row>
        <row r="38">
          <cell r="D38">
            <v>82</v>
          </cell>
        </row>
        <row r="39">
          <cell r="D39">
            <v>1</v>
          </cell>
        </row>
        <row r="40">
          <cell r="D40">
            <v>77</v>
          </cell>
        </row>
        <row r="41">
          <cell r="D41">
            <v>819</v>
          </cell>
        </row>
        <row r="42">
          <cell r="D42">
            <v>128</v>
          </cell>
        </row>
        <row r="43">
          <cell r="D43">
            <v>134</v>
          </cell>
        </row>
        <row r="44">
          <cell r="D44">
            <v>2</v>
          </cell>
        </row>
        <row r="45">
          <cell r="D45">
            <v>64</v>
          </cell>
        </row>
        <row r="46">
          <cell r="D46">
            <v>20</v>
          </cell>
        </row>
        <row r="47">
          <cell r="D47">
            <v>38</v>
          </cell>
        </row>
        <row r="48">
          <cell r="D48">
            <v>161</v>
          </cell>
        </row>
        <row r="49">
          <cell r="D49">
            <v>57</v>
          </cell>
        </row>
        <row r="50">
          <cell r="D50">
            <v>18</v>
          </cell>
        </row>
        <row r="51">
          <cell r="D51">
            <v>328</v>
          </cell>
        </row>
        <row r="52">
          <cell r="D52">
            <v>201</v>
          </cell>
        </row>
        <row r="53">
          <cell r="D53">
            <v>35</v>
          </cell>
        </row>
        <row r="54">
          <cell r="D54">
            <v>1</v>
          </cell>
        </row>
        <row r="55">
          <cell r="D55">
            <v>73</v>
          </cell>
        </row>
        <row r="56">
          <cell r="D56">
            <v>4349</v>
          </cell>
        </row>
        <row r="57">
          <cell r="D57">
            <v>232</v>
          </cell>
        </row>
        <row r="58">
          <cell r="D58">
            <v>179</v>
          </cell>
        </row>
        <row r="59">
          <cell r="D59">
            <v>34</v>
          </cell>
        </row>
        <row r="60">
          <cell r="D60">
            <v>142</v>
          </cell>
        </row>
        <row r="61">
          <cell r="D61">
            <v>62</v>
          </cell>
        </row>
        <row r="62">
          <cell r="D62">
            <v>121</v>
          </cell>
        </row>
        <row r="63">
          <cell r="D63">
            <v>1414</v>
          </cell>
        </row>
        <row r="64">
          <cell r="D64">
            <v>97</v>
          </cell>
        </row>
        <row r="65">
          <cell r="D65">
            <v>14</v>
          </cell>
        </row>
        <row r="66">
          <cell r="D66">
            <v>682</v>
          </cell>
        </row>
        <row r="67">
          <cell r="D67">
            <v>314</v>
          </cell>
        </row>
        <row r="68">
          <cell r="D68">
            <v>66</v>
          </cell>
        </row>
        <row r="69">
          <cell r="D69">
            <v>268</v>
          </cell>
        </row>
        <row r="70">
          <cell r="D70">
            <v>7481</v>
          </cell>
        </row>
        <row r="71">
          <cell r="D71">
            <v>129277</v>
          </cell>
        </row>
        <row r="72">
          <cell r="D72">
            <v>27261</v>
          </cell>
        </row>
        <row r="73">
          <cell r="D73">
            <v>18910</v>
          </cell>
        </row>
        <row r="74">
          <cell r="D74">
            <v>1842</v>
          </cell>
        </row>
        <row r="75">
          <cell r="D75">
            <v>9032</v>
          </cell>
        </row>
        <row r="76">
          <cell r="D76">
            <v>5783</v>
          </cell>
        </row>
        <row r="77">
          <cell r="D77">
            <v>12255</v>
          </cell>
        </row>
        <row r="78">
          <cell r="D78">
            <v>27104</v>
          </cell>
        </row>
        <row r="79">
          <cell r="D79">
            <v>11254</v>
          </cell>
        </row>
        <row r="80">
          <cell r="D80">
            <v>1762</v>
          </cell>
        </row>
        <row r="81">
          <cell r="D81">
            <v>50639</v>
          </cell>
        </row>
        <row r="82">
          <cell r="D82">
            <v>15150</v>
          </cell>
        </row>
        <row r="83">
          <cell r="D83">
            <v>5572</v>
          </cell>
        </row>
        <row r="84">
          <cell r="D84">
            <v>10790</v>
          </cell>
        </row>
        <row r="85">
          <cell r="D85">
            <v>89587</v>
          </cell>
        </row>
        <row r="86">
          <cell r="D86">
            <v>890194</v>
          </cell>
        </row>
        <row r="87">
          <cell r="D87">
            <v>251438</v>
          </cell>
        </row>
        <row r="88">
          <cell r="D88">
            <v>187272</v>
          </cell>
        </row>
        <row r="89">
          <cell r="D89">
            <v>21658</v>
          </cell>
        </row>
        <row r="90">
          <cell r="D90">
            <v>90118</v>
          </cell>
        </row>
        <row r="91">
          <cell r="D91">
            <v>67203</v>
          </cell>
        </row>
        <row r="92">
          <cell r="D92">
            <v>134791</v>
          </cell>
        </row>
        <row r="93">
          <cell r="D93">
            <v>258389</v>
          </cell>
        </row>
        <row r="94">
          <cell r="D94">
            <v>99589</v>
          </cell>
        </row>
        <row r="95">
          <cell r="D95">
            <v>18170</v>
          </cell>
        </row>
        <row r="96">
          <cell r="D96">
            <v>402906</v>
          </cell>
        </row>
        <row r="97">
          <cell r="D97">
            <v>119380</v>
          </cell>
        </row>
        <row r="98">
          <cell r="D98">
            <v>63724</v>
          </cell>
        </row>
        <row r="99">
          <cell r="D99">
            <v>215</v>
          </cell>
        </row>
        <row r="100">
          <cell r="D100">
            <v>101</v>
          </cell>
        </row>
        <row r="101">
          <cell r="D101">
            <v>1887</v>
          </cell>
        </row>
        <row r="102">
          <cell r="D102">
            <v>502</v>
          </cell>
        </row>
        <row r="103">
          <cell r="D103">
            <v>353</v>
          </cell>
        </row>
        <row r="104">
          <cell r="D104">
            <v>29</v>
          </cell>
        </row>
        <row r="105">
          <cell r="D105">
            <v>118</v>
          </cell>
        </row>
        <row r="106">
          <cell r="D106">
            <v>146</v>
          </cell>
        </row>
        <row r="107">
          <cell r="D107">
            <v>290</v>
          </cell>
        </row>
        <row r="108">
          <cell r="D108">
            <v>599</v>
          </cell>
        </row>
        <row r="109">
          <cell r="D109">
            <v>231</v>
          </cell>
        </row>
        <row r="110">
          <cell r="D110">
            <v>23</v>
          </cell>
        </row>
        <row r="111">
          <cell r="D111">
            <v>857</v>
          </cell>
        </row>
        <row r="112">
          <cell r="D112">
            <v>257</v>
          </cell>
        </row>
        <row r="113">
          <cell r="D113">
            <v>124</v>
          </cell>
        </row>
        <row r="114">
          <cell r="D114">
            <v>1818</v>
          </cell>
        </row>
        <row r="115">
          <cell r="D115">
            <v>4419</v>
          </cell>
        </row>
        <row r="116">
          <cell r="D116">
            <v>36678</v>
          </cell>
        </row>
        <row r="117">
          <cell r="D117">
            <v>14414</v>
          </cell>
        </row>
        <row r="118">
          <cell r="D118">
            <v>11407</v>
          </cell>
        </row>
        <row r="119">
          <cell r="D119">
            <v>1241</v>
          </cell>
        </row>
        <row r="120">
          <cell r="D120">
            <v>5016</v>
          </cell>
        </row>
        <row r="121">
          <cell r="D121">
            <v>5450</v>
          </cell>
        </row>
        <row r="122">
          <cell r="D122">
            <v>9614</v>
          </cell>
        </row>
        <row r="123">
          <cell r="D123">
            <v>17096</v>
          </cell>
        </row>
        <row r="124">
          <cell r="D124">
            <v>8340</v>
          </cell>
        </row>
        <row r="125">
          <cell r="D125">
            <v>1781</v>
          </cell>
        </row>
        <row r="126">
          <cell r="D126">
            <v>25530</v>
          </cell>
        </row>
        <row r="127">
          <cell r="D127">
            <v>7542</v>
          </cell>
        </row>
        <row r="128">
          <cell r="D128">
            <v>4116</v>
          </cell>
        </row>
        <row r="129">
          <cell r="D129">
            <v>10273</v>
          </cell>
        </row>
        <row r="130">
          <cell r="D130">
            <v>3179</v>
          </cell>
        </row>
        <row r="131">
          <cell r="D131">
            <v>22241</v>
          </cell>
        </row>
        <row r="132">
          <cell r="D132">
            <v>9957</v>
          </cell>
        </row>
        <row r="133">
          <cell r="D133">
            <v>6820</v>
          </cell>
        </row>
        <row r="134">
          <cell r="D134">
            <v>978</v>
          </cell>
        </row>
        <row r="135">
          <cell r="D135">
            <v>3212</v>
          </cell>
        </row>
        <row r="136">
          <cell r="D136">
            <v>2689</v>
          </cell>
        </row>
        <row r="137">
          <cell r="D137">
            <v>5405</v>
          </cell>
        </row>
        <row r="138">
          <cell r="D138">
            <v>5373</v>
          </cell>
        </row>
        <row r="139">
          <cell r="D139">
            <v>3456</v>
          </cell>
        </row>
        <row r="140">
          <cell r="D140">
            <v>970</v>
          </cell>
        </row>
        <row r="141">
          <cell r="D141">
            <v>16350</v>
          </cell>
        </row>
        <row r="142">
          <cell r="D142">
            <v>4086</v>
          </cell>
        </row>
        <row r="143">
          <cell r="D143">
            <v>2806</v>
          </cell>
        </row>
        <row r="144">
          <cell r="D144">
            <v>8654</v>
          </cell>
        </row>
        <row r="145">
          <cell r="D145">
            <v>3265</v>
          </cell>
        </row>
        <row r="146">
          <cell r="D146">
            <v>9044</v>
          </cell>
        </row>
        <row r="147">
          <cell r="D147">
            <v>7908</v>
          </cell>
        </row>
        <row r="148">
          <cell r="D148">
            <v>5190</v>
          </cell>
        </row>
        <row r="149">
          <cell r="D149">
            <v>796</v>
          </cell>
        </row>
        <row r="150">
          <cell r="D150">
            <v>2386</v>
          </cell>
        </row>
        <row r="151">
          <cell r="D151">
            <v>2366</v>
          </cell>
        </row>
        <row r="152">
          <cell r="D152">
            <v>4401</v>
          </cell>
        </row>
        <row r="153">
          <cell r="D153">
            <v>2813</v>
          </cell>
        </row>
        <row r="154">
          <cell r="D154">
            <v>3480</v>
          </cell>
        </row>
        <row r="155">
          <cell r="D155">
            <v>748</v>
          </cell>
        </row>
        <row r="156">
          <cell r="D156">
            <v>10177</v>
          </cell>
        </row>
        <row r="157">
          <cell r="D157">
            <v>2742</v>
          </cell>
        </row>
        <row r="158">
          <cell r="D158">
            <v>2239</v>
          </cell>
        </row>
        <row r="159">
          <cell r="D159">
            <v>0</v>
          </cell>
        </row>
        <row r="160">
          <cell r="D160">
            <v>62</v>
          </cell>
        </row>
        <row r="161">
          <cell r="D161">
            <v>379</v>
          </cell>
        </row>
        <row r="162">
          <cell r="D162">
            <v>171</v>
          </cell>
        </row>
        <row r="163">
          <cell r="D163">
            <v>148</v>
          </cell>
        </row>
        <row r="164">
          <cell r="D164">
            <v>11</v>
          </cell>
        </row>
        <row r="165">
          <cell r="D165">
            <v>62</v>
          </cell>
        </row>
        <row r="166">
          <cell r="D166">
            <v>24</v>
          </cell>
        </row>
        <row r="167">
          <cell r="D167">
            <v>72</v>
          </cell>
        </row>
        <row r="168">
          <cell r="D168">
            <v>85</v>
          </cell>
        </row>
        <row r="169">
          <cell r="D169">
            <v>72</v>
          </cell>
        </row>
        <row r="170">
          <cell r="D170">
            <v>44</v>
          </cell>
        </row>
        <row r="171">
          <cell r="D171">
            <v>237</v>
          </cell>
        </row>
        <row r="172">
          <cell r="D172">
            <v>229</v>
          </cell>
        </row>
        <row r="173">
          <cell r="D173">
            <v>71</v>
          </cell>
        </row>
        <row r="174">
          <cell r="D174">
            <v>0</v>
          </cell>
        </row>
        <row r="175">
          <cell r="D175">
            <v>19</v>
          </cell>
        </row>
        <row r="176">
          <cell r="D176">
            <v>362</v>
          </cell>
        </row>
        <row r="177">
          <cell r="D177">
            <v>48</v>
          </cell>
        </row>
        <row r="178">
          <cell r="D178">
            <v>67</v>
          </cell>
        </row>
        <row r="179">
          <cell r="D179">
            <v>13</v>
          </cell>
        </row>
        <row r="180">
          <cell r="D180">
            <v>29</v>
          </cell>
        </row>
        <row r="181">
          <cell r="D181">
            <v>11</v>
          </cell>
        </row>
        <row r="182">
          <cell r="D182">
            <v>25</v>
          </cell>
        </row>
        <row r="183">
          <cell r="D183">
            <v>62</v>
          </cell>
        </row>
        <row r="184">
          <cell r="D184">
            <v>40</v>
          </cell>
        </row>
        <row r="185">
          <cell r="D185">
            <v>13</v>
          </cell>
        </row>
        <row r="186">
          <cell r="D186">
            <v>120</v>
          </cell>
        </row>
        <row r="187">
          <cell r="D187">
            <v>105</v>
          </cell>
        </row>
        <row r="188">
          <cell r="D188">
            <v>26</v>
          </cell>
        </row>
        <row r="189">
          <cell r="D189">
            <v>125</v>
          </cell>
        </row>
        <row r="190">
          <cell r="D190">
            <v>6996</v>
          </cell>
        </row>
        <row r="191">
          <cell r="D191">
            <v>58528</v>
          </cell>
        </row>
        <row r="192">
          <cell r="D192">
            <v>20861</v>
          </cell>
        </row>
        <row r="193">
          <cell r="D193">
            <v>16607</v>
          </cell>
        </row>
        <row r="194">
          <cell r="D194">
            <v>2369</v>
          </cell>
        </row>
        <row r="195">
          <cell r="D195">
            <v>7634</v>
          </cell>
        </row>
        <row r="196">
          <cell r="D196">
            <v>4950</v>
          </cell>
        </row>
        <row r="197">
          <cell r="D197">
            <v>10091</v>
          </cell>
        </row>
        <row r="198">
          <cell r="D198">
            <v>15429</v>
          </cell>
        </row>
        <row r="199">
          <cell r="D199">
            <v>8643</v>
          </cell>
        </row>
        <row r="200">
          <cell r="D200">
            <v>1915</v>
          </cell>
        </row>
        <row r="201">
          <cell r="D201">
            <v>36504</v>
          </cell>
        </row>
        <row r="202">
          <cell r="D202">
            <v>10274</v>
          </cell>
        </row>
        <row r="203">
          <cell r="D203">
            <v>6163</v>
          </cell>
        </row>
        <row r="204">
          <cell r="D204">
            <v>1846</v>
          </cell>
        </row>
        <row r="205">
          <cell r="D205">
            <v>17071</v>
          </cell>
        </row>
        <row r="206">
          <cell r="D206">
            <v>57275</v>
          </cell>
        </row>
        <row r="207">
          <cell r="D207">
            <v>35526</v>
          </cell>
        </row>
        <row r="208">
          <cell r="D208">
            <v>28909</v>
          </cell>
        </row>
        <row r="209">
          <cell r="D209">
            <v>5347</v>
          </cell>
        </row>
        <row r="210">
          <cell r="D210">
            <v>14340</v>
          </cell>
        </row>
        <row r="211">
          <cell r="D211">
            <v>10869</v>
          </cell>
        </row>
        <row r="212">
          <cell r="D212">
            <v>22342</v>
          </cell>
        </row>
        <row r="213">
          <cell r="D213">
            <v>21656</v>
          </cell>
        </row>
        <row r="214">
          <cell r="D214">
            <v>17239</v>
          </cell>
        </row>
        <row r="215">
          <cell r="D215">
            <v>4173</v>
          </cell>
        </row>
        <row r="216">
          <cell r="D216">
            <v>46243</v>
          </cell>
        </row>
        <row r="217">
          <cell r="D217">
            <v>16663</v>
          </cell>
        </row>
        <row r="218">
          <cell r="D218">
            <v>12512</v>
          </cell>
        </row>
        <row r="228">
          <cell r="D228">
            <v>5317504.97</v>
          </cell>
        </row>
        <row r="229">
          <cell r="D229">
            <v>8964591</v>
          </cell>
        </row>
        <row r="230">
          <cell r="D230">
            <v>93201122.769999996</v>
          </cell>
        </row>
        <row r="231">
          <cell r="D231">
            <v>15249937.859999999</v>
          </cell>
        </row>
        <row r="232">
          <cell r="D232">
            <v>15937824.99</v>
          </cell>
        </row>
        <row r="233">
          <cell r="D233">
            <v>1511849.43</v>
          </cell>
        </row>
        <row r="234">
          <cell r="D234">
            <v>4581740.5199999996</v>
          </cell>
        </row>
        <row r="235">
          <cell r="D235">
            <v>2067175.47</v>
          </cell>
        </row>
        <row r="236">
          <cell r="D236">
            <v>6872794.1799999997</v>
          </cell>
        </row>
        <row r="237">
          <cell r="D237">
            <v>20771276.059999999</v>
          </cell>
        </row>
        <row r="238">
          <cell r="D238">
            <v>5820015.1100000003</v>
          </cell>
        </row>
        <row r="239">
          <cell r="D239">
            <v>1483126.41</v>
          </cell>
        </row>
        <row r="240">
          <cell r="D240">
            <v>47015915.479999997</v>
          </cell>
        </row>
        <row r="241">
          <cell r="D241">
            <v>14497148.359999999</v>
          </cell>
        </row>
        <row r="242">
          <cell r="D242">
            <v>6764352.7000000002</v>
          </cell>
        </row>
        <row r="243">
          <cell r="D243">
            <v>19921.830000000002</v>
          </cell>
        </row>
        <row r="244">
          <cell r="D244">
            <v>1091070.33</v>
          </cell>
        </row>
        <row r="245">
          <cell r="D245">
            <v>3888661.82</v>
          </cell>
        </row>
        <row r="246">
          <cell r="D246">
            <v>2602580.73</v>
          </cell>
        </row>
        <row r="247">
          <cell r="D247">
            <v>1965249.49</v>
          </cell>
        </row>
        <row r="248">
          <cell r="D248">
            <v>348223.96</v>
          </cell>
        </row>
        <row r="249">
          <cell r="D249">
            <v>459777.64</v>
          </cell>
        </row>
        <row r="250">
          <cell r="D250">
            <v>1290661.71</v>
          </cell>
        </row>
        <row r="251">
          <cell r="D251">
            <v>1058901.52</v>
          </cell>
        </row>
        <row r="252">
          <cell r="D252">
            <v>615472.67000000004</v>
          </cell>
        </row>
        <row r="253">
          <cell r="D253">
            <v>1231747.6100000001</v>
          </cell>
        </row>
        <row r="254">
          <cell r="D254">
            <v>443295.56</v>
          </cell>
        </row>
        <row r="255">
          <cell r="D255">
            <v>4976257.97</v>
          </cell>
        </row>
        <row r="256">
          <cell r="D256">
            <v>999462.69</v>
          </cell>
        </row>
        <row r="257">
          <cell r="D257">
            <v>963247.93</v>
          </cell>
        </row>
        <row r="258">
          <cell r="D258">
            <v>0</v>
          </cell>
        </row>
        <row r="259">
          <cell r="D259">
            <v>2039953.83</v>
          </cell>
        </row>
        <row r="260">
          <cell r="D260">
            <v>21171727.620000001</v>
          </cell>
        </row>
        <row r="261">
          <cell r="D261">
            <v>3276137.32</v>
          </cell>
        </row>
        <row r="262">
          <cell r="D262">
            <v>2997156.05</v>
          </cell>
        </row>
        <row r="263">
          <cell r="D263">
            <v>10525.24</v>
          </cell>
        </row>
        <row r="264">
          <cell r="D264">
            <v>1325662.1299999999</v>
          </cell>
        </row>
        <row r="265">
          <cell r="D265">
            <v>661365.64</v>
          </cell>
        </row>
        <row r="266">
          <cell r="D266">
            <v>944184.97</v>
          </cell>
        </row>
        <row r="267">
          <cell r="D267">
            <v>4136770.24</v>
          </cell>
        </row>
        <row r="268">
          <cell r="D268">
            <v>1052604.07</v>
          </cell>
        </row>
        <row r="269">
          <cell r="D269">
            <v>308433.93</v>
          </cell>
        </row>
        <row r="270">
          <cell r="D270">
            <v>8366213.3499999996</v>
          </cell>
        </row>
        <row r="271">
          <cell r="D271">
            <v>5282081.32</v>
          </cell>
        </row>
        <row r="272">
          <cell r="D272">
            <v>554218.55000000005</v>
          </cell>
        </row>
        <row r="273">
          <cell r="D273">
            <v>0</v>
          </cell>
        </row>
        <row r="274">
          <cell r="D274">
            <v>1664383.75</v>
          </cell>
        </row>
        <row r="275">
          <cell r="D275">
            <v>138148310.22999999</v>
          </cell>
        </row>
        <row r="276">
          <cell r="D276">
            <v>7037822.6399999997</v>
          </cell>
        </row>
        <row r="277">
          <cell r="D277">
            <v>6350349.46</v>
          </cell>
        </row>
        <row r="278">
          <cell r="D278">
            <v>980252.83</v>
          </cell>
        </row>
        <row r="279">
          <cell r="D279">
            <v>3978353.93</v>
          </cell>
        </row>
        <row r="280">
          <cell r="D280">
            <v>2458418.79</v>
          </cell>
        </row>
        <row r="281">
          <cell r="D281">
            <v>3893453.49</v>
          </cell>
        </row>
        <row r="282">
          <cell r="D282">
            <v>49885305.009999998</v>
          </cell>
        </row>
        <row r="283">
          <cell r="D283">
            <v>2503503.5099999998</v>
          </cell>
        </row>
        <row r="284">
          <cell r="D284">
            <v>444508.74</v>
          </cell>
        </row>
        <row r="285">
          <cell r="D285">
            <v>20686454.100000001</v>
          </cell>
        </row>
        <row r="286">
          <cell r="D286">
            <v>9453651.1699999999</v>
          </cell>
        </row>
        <row r="287">
          <cell r="D287">
            <v>1958682.55</v>
          </cell>
        </row>
        <row r="288">
          <cell r="D288">
            <v>484035.45</v>
          </cell>
        </row>
        <row r="289">
          <cell r="D289">
            <v>121790432.89</v>
          </cell>
        </row>
        <row r="290">
          <cell r="D290">
            <v>1856780025.1199999</v>
          </cell>
        </row>
        <row r="291">
          <cell r="D291">
            <v>445995846</v>
          </cell>
        </row>
        <row r="292">
          <cell r="D292">
            <v>301128376.63999999</v>
          </cell>
        </row>
        <row r="293">
          <cell r="D293">
            <v>24049379.300000001</v>
          </cell>
        </row>
        <row r="294">
          <cell r="D294">
            <v>126927650.15000001</v>
          </cell>
        </row>
        <row r="295">
          <cell r="D295">
            <v>82599716.560000002</v>
          </cell>
        </row>
        <row r="296">
          <cell r="D296">
            <v>183829204.44999999</v>
          </cell>
        </row>
        <row r="297">
          <cell r="D297">
            <v>391738936.32999998</v>
          </cell>
        </row>
        <row r="298">
          <cell r="D298">
            <v>148710451.33000001</v>
          </cell>
        </row>
        <row r="299">
          <cell r="D299">
            <v>28930479.359999999</v>
          </cell>
        </row>
        <row r="300">
          <cell r="D300">
            <v>769039229.28999996</v>
          </cell>
        </row>
        <row r="301">
          <cell r="D301">
            <v>238271305.09</v>
          </cell>
        </row>
        <row r="302">
          <cell r="D302">
            <v>84504268.590000004</v>
          </cell>
        </row>
        <row r="303">
          <cell r="D303">
            <v>248557.79</v>
          </cell>
        </row>
        <row r="304">
          <cell r="D304">
            <v>1017142014.38</v>
          </cell>
        </row>
        <row r="305">
          <cell r="D305">
            <v>9467279901.9899998</v>
          </cell>
        </row>
        <row r="306">
          <cell r="D306">
            <v>2921856873.8600001</v>
          </cell>
        </row>
        <row r="307">
          <cell r="D307">
            <v>2102839901.26</v>
          </cell>
        </row>
        <row r="308">
          <cell r="D308">
            <v>209869965.15000001</v>
          </cell>
        </row>
        <row r="309">
          <cell r="D309">
            <v>932643539.13999999</v>
          </cell>
        </row>
        <row r="310">
          <cell r="D310">
            <v>698098092.17999995</v>
          </cell>
        </row>
        <row r="311">
          <cell r="D311">
            <v>1397339832.3800001</v>
          </cell>
        </row>
        <row r="312">
          <cell r="D312">
            <v>2676943449.9499998</v>
          </cell>
        </row>
        <row r="313">
          <cell r="D313">
            <v>907616823.39999998</v>
          </cell>
        </row>
        <row r="314">
          <cell r="D314">
            <v>184607427.94999999</v>
          </cell>
        </row>
        <row r="315">
          <cell r="D315">
            <v>3935208628.2600002</v>
          </cell>
        </row>
        <row r="316">
          <cell r="D316">
            <v>1151565997.6900001</v>
          </cell>
        </row>
        <row r="317">
          <cell r="D317">
            <v>632744137.04999995</v>
          </cell>
        </row>
        <row r="318">
          <cell r="D318">
            <v>3550993.86</v>
          </cell>
        </row>
        <row r="319">
          <cell r="D319">
            <v>389346.71</v>
          </cell>
        </row>
        <row r="320">
          <cell r="D320">
            <v>8020219.8799999999</v>
          </cell>
        </row>
        <row r="321">
          <cell r="D321">
            <v>1909538.65</v>
          </cell>
        </row>
        <row r="322">
          <cell r="D322">
            <v>1215808.3</v>
          </cell>
        </row>
        <row r="323">
          <cell r="D323">
            <v>67378.080000000002</v>
          </cell>
        </row>
        <row r="324">
          <cell r="D324">
            <v>476983.54</v>
          </cell>
        </row>
        <row r="325">
          <cell r="D325">
            <v>403876.33</v>
          </cell>
        </row>
        <row r="326">
          <cell r="D326">
            <v>1074061.8</v>
          </cell>
        </row>
        <row r="327">
          <cell r="D327">
            <v>2374584.89</v>
          </cell>
        </row>
        <row r="328">
          <cell r="D328">
            <v>676532.27</v>
          </cell>
        </row>
        <row r="329">
          <cell r="D329">
            <v>83551.86</v>
          </cell>
        </row>
        <row r="330">
          <cell r="D330">
            <v>5689314.4000000004</v>
          </cell>
        </row>
        <row r="331">
          <cell r="D331">
            <v>803505.36</v>
          </cell>
        </row>
        <row r="332">
          <cell r="D332">
            <v>330971.82</v>
          </cell>
        </row>
        <row r="333">
          <cell r="D333">
            <v>8070822.0899999999</v>
          </cell>
        </row>
        <row r="334">
          <cell r="D334">
            <v>12147997.890000001</v>
          </cell>
        </row>
        <row r="335">
          <cell r="D335">
            <v>102231140.17</v>
          </cell>
        </row>
        <row r="336">
          <cell r="D336">
            <v>37550675.380000003</v>
          </cell>
        </row>
        <row r="337">
          <cell r="D337">
            <v>31084738.91</v>
          </cell>
        </row>
        <row r="338">
          <cell r="D338">
            <v>2631827.71</v>
          </cell>
        </row>
        <row r="339">
          <cell r="D339">
            <v>12417164.810000001</v>
          </cell>
        </row>
        <row r="340">
          <cell r="D340">
            <v>12604488.890000001</v>
          </cell>
        </row>
        <row r="341">
          <cell r="D341">
            <v>24049445.890000001</v>
          </cell>
        </row>
        <row r="342">
          <cell r="D342">
            <v>45465294.600000001</v>
          </cell>
        </row>
        <row r="343">
          <cell r="D343">
            <v>19342274.329999998</v>
          </cell>
        </row>
        <row r="344">
          <cell r="D344">
            <v>3792050.25</v>
          </cell>
        </row>
        <row r="345">
          <cell r="D345">
            <v>55695052.170000002</v>
          </cell>
        </row>
        <row r="346">
          <cell r="D346">
            <v>16074834.220000001</v>
          </cell>
        </row>
        <row r="347">
          <cell r="D347">
            <v>7366538.1699999999</v>
          </cell>
        </row>
        <row r="348">
          <cell r="D348">
            <v>28006321.32</v>
          </cell>
        </row>
        <row r="349">
          <cell r="D349">
            <v>98042957.840000004</v>
          </cell>
        </row>
        <row r="350">
          <cell r="D350">
            <v>588811419.95000005</v>
          </cell>
        </row>
        <row r="351">
          <cell r="D351">
            <v>274823349.24000001</v>
          </cell>
        </row>
        <row r="352">
          <cell r="D352">
            <v>228810219.46000001</v>
          </cell>
        </row>
        <row r="353">
          <cell r="D353">
            <v>25699358.170000002</v>
          </cell>
        </row>
        <row r="354">
          <cell r="D354">
            <v>87912001.299999997</v>
          </cell>
        </row>
        <row r="355">
          <cell r="D355">
            <v>77468276.590000004</v>
          </cell>
        </row>
        <row r="356">
          <cell r="D356">
            <v>145145159.83000001</v>
          </cell>
        </row>
        <row r="357">
          <cell r="D357">
            <v>128553268.19</v>
          </cell>
        </row>
        <row r="358">
          <cell r="D358">
            <v>85735130.519999996</v>
          </cell>
        </row>
        <row r="359">
          <cell r="D359">
            <v>27738814.629999999</v>
          </cell>
        </row>
        <row r="360">
          <cell r="D360">
            <v>391252190.58999997</v>
          </cell>
        </row>
        <row r="361">
          <cell r="D361">
            <v>101301094.75</v>
          </cell>
        </row>
        <row r="362">
          <cell r="D362">
            <v>83783849.090000004</v>
          </cell>
        </row>
        <row r="363">
          <cell r="D363">
            <v>26847396.059999999</v>
          </cell>
        </row>
        <row r="364">
          <cell r="D364">
            <v>30627846.940000001</v>
          </cell>
        </row>
        <row r="365">
          <cell r="D365">
            <v>101963339.13</v>
          </cell>
        </row>
        <row r="366">
          <cell r="D366">
            <v>66701836.869999997</v>
          </cell>
        </row>
        <row r="367">
          <cell r="D367">
            <v>43876727.57</v>
          </cell>
        </row>
        <row r="368">
          <cell r="D368">
            <v>5667678.71</v>
          </cell>
        </row>
        <row r="369">
          <cell r="D369">
            <v>17910784.350000001</v>
          </cell>
        </row>
        <row r="370">
          <cell r="D370">
            <v>18507167.489999998</v>
          </cell>
        </row>
        <row r="371">
          <cell r="D371">
            <v>39079742.960000001</v>
          </cell>
        </row>
        <row r="372">
          <cell r="D372">
            <v>25171178.329999998</v>
          </cell>
        </row>
        <row r="373">
          <cell r="D373">
            <v>21806478.649999999</v>
          </cell>
        </row>
        <row r="374">
          <cell r="D374">
            <v>4578987.9800000004</v>
          </cell>
        </row>
        <row r="375">
          <cell r="D375">
            <v>73827325.590000004</v>
          </cell>
        </row>
        <row r="376">
          <cell r="D376">
            <v>19836091.43</v>
          </cell>
        </row>
        <row r="377">
          <cell r="D377">
            <v>16968063.09</v>
          </cell>
        </row>
        <row r="378">
          <cell r="D378">
            <v>0</v>
          </cell>
        </row>
        <row r="379">
          <cell r="D379">
            <v>1271493.43</v>
          </cell>
        </row>
        <row r="380">
          <cell r="D380">
            <v>10060977.380000001</v>
          </cell>
        </row>
        <row r="381">
          <cell r="D381">
            <v>4754597.6399999997</v>
          </cell>
        </row>
        <row r="382">
          <cell r="D382">
            <v>3517002.39</v>
          </cell>
        </row>
        <row r="383">
          <cell r="D383">
            <v>255593.48</v>
          </cell>
        </row>
        <row r="384">
          <cell r="D384">
            <v>1252789.8500000001</v>
          </cell>
        </row>
        <row r="385">
          <cell r="D385">
            <v>600769.46</v>
          </cell>
        </row>
        <row r="386">
          <cell r="D386">
            <v>1917419.58</v>
          </cell>
        </row>
        <row r="387">
          <cell r="D387">
            <v>2922868.62</v>
          </cell>
        </row>
        <row r="388">
          <cell r="D388">
            <v>1865724.48</v>
          </cell>
        </row>
        <row r="389">
          <cell r="D389">
            <v>681042.61</v>
          </cell>
        </row>
        <row r="390">
          <cell r="D390">
            <v>5114702.79</v>
          </cell>
        </row>
        <row r="391">
          <cell r="D391">
            <v>5818103.4400000004</v>
          </cell>
        </row>
        <row r="392">
          <cell r="D392">
            <v>1313796.3400000001</v>
          </cell>
        </row>
        <row r="393">
          <cell r="D393">
            <v>0</v>
          </cell>
        </row>
        <row r="394">
          <cell r="D394">
            <v>526391.46</v>
          </cell>
        </row>
        <row r="395">
          <cell r="D395">
            <v>13057630.619999999</v>
          </cell>
        </row>
        <row r="396">
          <cell r="D396">
            <v>1259583.52</v>
          </cell>
        </row>
        <row r="397">
          <cell r="D397">
            <v>1877848.01</v>
          </cell>
        </row>
        <row r="398">
          <cell r="D398">
            <v>346150.25</v>
          </cell>
        </row>
        <row r="399">
          <cell r="D399">
            <v>1009827.88</v>
          </cell>
        </row>
        <row r="400">
          <cell r="D400">
            <v>259353.94</v>
          </cell>
        </row>
        <row r="401">
          <cell r="D401">
            <v>562371.88</v>
          </cell>
        </row>
        <row r="402">
          <cell r="D402">
            <v>2154525.5099999998</v>
          </cell>
        </row>
        <row r="403">
          <cell r="D403">
            <v>1005279.78</v>
          </cell>
        </row>
        <row r="404">
          <cell r="D404">
            <v>362323.44</v>
          </cell>
        </row>
        <row r="405">
          <cell r="D405">
            <v>3426004.87</v>
          </cell>
        </row>
        <row r="406">
          <cell r="D406">
            <v>2600974</v>
          </cell>
        </row>
        <row r="407">
          <cell r="D407">
            <v>633856.42000000004</v>
          </cell>
        </row>
        <row r="408">
          <cell r="D408">
            <v>534424.56999999995</v>
          </cell>
        </row>
        <row r="409">
          <cell r="D409">
            <v>134646684.94999999</v>
          </cell>
        </row>
        <row r="410">
          <cell r="D410">
            <v>1067768303.5</v>
          </cell>
        </row>
        <row r="411">
          <cell r="D411">
            <v>408058068.42000002</v>
          </cell>
        </row>
        <row r="412">
          <cell r="D412">
            <v>317226290.45999998</v>
          </cell>
        </row>
        <row r="413">
          <cell r="D413">
            <v>43505995.469999999</v>
          </cell>
        </row>
        <row r="414">
          <cell r="D414">
            <v>133927840.20999999</v>
          </cell>
        </row>
        <row r="415">
          <cell r="D415">
            <v>86858794.819999993</v>
          </cell>
        </row>
        <row r="416">
          <cell r="D416">
            <v>185193301.94999999</v>
          </cell>
        </row>
        <row r="417">
          <cell r="D417">
            <v>281722125.44</v>
          </cell>
        </row>
        <row r="418">
          <cell r="D418">
            <v>143390567.83000001</v>
          </cell>
        </row>
        <row r="419">
          <cell r="D419">
            <v>35514039.399999999</v>
          </cell>
        </row>
        <row r="420">
          <cell r="D420">
            <v>673727932.73000002</v>
          </cell>
        </row>
        <row r="421">
          <cell r="D421">
            <v>186157218.44999999</v>
          </cell>
        </row>
        <row r="422">
          <cell r="D422">
            <v>117144051.40000001</v>
          </cell>
        </row>
        <row r="423">
          <cell r="D423">
            <v>102783.32</v>
          </cell>
        </row>
        <row r="424">
          <cell r="D424">
            <v>207368710.15000001</v>
          </cell>
        </row>
        <row r="425">
          <cell r="D425">
            <v>736278240</v>
          </cell>
        </row>
        <row r="426">
          <cell r="D426">
            <v>450398893.44999999</v>
          </cell>
        </row>
        <row r="427">
          <cell r="D427">
            <v>346381182.48000002</v>
          </cell>
        </row>
        <row r="428">
          <cell r="D428">
            <v>63023068.520000003</v>
          </cell>
        </row>
        <row r="429">
          <cell r="D429">
            <v>166360726.47999999</v>
          </cell>
        </row>
        <row r="430">
          <cell r="D430">
            <v>124813257.31999999</v>
          </cell>
        </row>
        <row r="431">
          <cell r="D431">
            <v>263851713.88999999</v>
          </cell>
        </row>
        <row r="432">
          <cell r="D432">
            <v>255540347.94999999</v>
          </cell>
        </row>
        <row r="433">
          <cell r="D433">
            <v>176196949.69</v>
          </cell>
        </row>
        <row r="434">
          <cell r="D434">
            <v>44726152.530000001</v>
          </cell>
        </row>
        <row r="435">
          <cell r="D435">
            <v>529680211.66000003</v>
          </cell>
        </row>
        <row r="436">
          <cell r="D436">
            <v>186669580.50999999</v>
          </cell>
        </row>
        <row r="437">
          <cell r="D437">
            <v>145075904.05000001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_17 fleet_v2"/>
    </sheetNames>
    <sheetDataSet>
      <sheetData sheetId="0">
        <row r="9">
          <cell r="D9">
            <v>113</v>
          </cell>
        </row>
        <row r="10">
          <cell r="D10">
            <v>396</v>
          </cell>
        </row>
        <row r="11">
          <cell r="D11">
            <v>2608</v>
          </cell>
        </row>
        <row r="12">
          <cell r="D12">
            <v>632</v>
          </cell>
        </row>
        <row r="13">
          <cell r="D13">
            <v>615</v>
          </cell>
        </row>
        <row r="14">
          <cell r="D14">
            <v>80</v>
          </cell>
        </row>
        <row r="15">
          <cell r="D15">
            <v>300</v>
          </cell>
        </row>
        <row r="16">
          <cell r="D16">
            <v>119</v>
          </cell>
        </row>
        <row r="17">
          <cell r="D17">
            <v>320</v>
          </cell>
        </row>
        <row r="18">
          <cell r="D18">
            <v>704</v>
          </cell>
        </row>
        <row r="19">
          <cell r="D19">
            <v>266</v>
          </cell>
        </row>
        <row r="20">
          <cell r="D20">
            <v>85</v>
          </cell>
        </row>
        <row r="21">
          <cell r="D21">
            <v>1445</v>
          </cell>
        </row>
        <row r="22">
          <cell r="D22">
            <v>527</v>
          </cell>
        </row>
        <row r="23">
          <cell r="D23">
            <v>311</v>
          </cell>
        </row>
        <row r="24">
          <cell r="D24">
            <v>39</v>
          </cell>
        </row>
        <row r="25">
          <cell r="D25">
            <v>97</v>
          </cell>
        </row>
        <row r="26">
          <cell r="D26">
            <v>277</v>
          </cell>
        </row>
        <row r="27">
          <cell r="D27">
            <v>210</v>
          </cell>
        </row>
        <row r="28">
          <cell r="D28">
            <v>178</v>
          </cell>
        </row>
        <row r="29">
          <cell r="D29">
            <v>30</v>
          </cell>
        </row>
        <row r="30">
          <cell r="D30">
            <v>46</v>
          </cell>
        </row>
        <row r="31">
          <cell r="D31">
            <v>83</v>
          </cell>
        </row>
        <row r="32">
          <cell r="D32">
            <v>99</v>
          </cell>
        </row>
        <row r="33">
          <cell r="D33">
            <v>61</v>
          </cell>
        </row>
        <row r="34">
          <cell r="D34">
            <v>103</v>
          </cell>
        </row>
        <row r="35">
          <cell r="D35">
            <v>31</v>
          </cell>
        </row>
        <row r="36">
          <cell r="D36">
            <v>377</v>
          </cell>
        </row>
        <row r="37">
          <cell r="D37">
            <v>103</v>
          </cell>
        </row>
        <row r="38">
          <cell r="D38">
            <v>84</v>
          </cell>
        </row>
        <row r="39">
          <cell r="D39">
            <v>1</v>
          </cell>
        </row>
        <row r="40">
          <cell r="D40">
            <v>69</v>
          </cell>
        </row>
        <row r="41">
          <cell r="D41">
            <v>896</v>
          </cell>
        </row>
        <row r="42">
          <cell r="D42">
            <v>176</v>
          </cell>
        </row>
        <row r="43">
          <cell r="D43">
            <v>157</v>
          </cell>
        </row>
        <row r="44">
          <cell r="D44">
            <v>3</v>
          </cell>
        </row>
        <row r="45">
          <cell r="D45">
            <v>123</v>
          </cell>
        </row>
        <row r="46">
          <cell r="D46">
            <v>42</v>
          </cell>
        </row>
        <row r="47">
          <cell r="D47">
            <v>49</v>
          </cell>
        </row>
        <row r="48">
          <cell r="D48">
            <v>176</v>
          </cell>
        </row>
        <row r="49">
          <cell r="D49">
            <v>70</v>
          </cell>
        </row>
        <row r="50">
          <cell r="D50">
            <v>18</v>
          </cell>
        </row>
        <row r="51">
          <cell r="D51">
            <v>361</v>
          </cell>
        </row>
        <row r="52">
          <cell r="D52">
            <v>240</v>
          </cell>
        </row>
        <row r="53">
          <cell r="D53">
            <v>39</v>
          </cell>
        </row>
        <row r="54">
          <cell r="D54">
            <v>1</v>
          </cell>
        </row>
        <row r="55">
          <cell r="D55">
            <v>67</v>
          </cell>
        </row>
        <row r="56">
          <cell r="D56">
            <v>4446</v>
          </cell>
        </row>
        <row r="57">
          <cell r="D57">
            <v>252</v>
          </cell>
        </row>
        <row r="58">
          <cell r="D58">
            <v>190</v>
          </cell>
        </row>
        <row r="59">
          <cell r="D59">
            <v>34</v>
          </cell>
        </row>
        <row r="60">
          <cell r="D60">
            <v>130</v>
          </cell>
        </row>
        <row r="61">
          <cell r="D61">
            <v>50</v>
          </cell>
        </row>
        <row r="62">
          <cell r="D62">
            <v>119</v>
          </cell>
        </row>
        <row r="63">
          <cell r="D63">
            <v>1379</v>
          </cell>
        </row>
        <row r="64">
          <cell r="D64">
            <v>113</v>
          </cell>
        </row>
        <row r="65">
          <cell r="D65">
            <v>17</v>
          </cell>
        </row>
        <row r="66">
          <cell r="D66">
            <v>738</v>
          </cell>
        </row>
        <row r="67">
          <cell r="D67">
            <v>333</v>
          </cell>
        </row>
        <row r="68">
          <cell r="D68">
            <v>61</v>
          </cell>
        </row>
        <row r="69">
          <cell r="D69">
            <v>257</v>
          </cell>
        </row>
        <row r="70">
          <cell r="D70">
            <v>7886</v>
          </cell>
        </row>
        <row r="71">
          <cell r="D71">
            <v>140728</v>
          </cell>
        </row>
        <row r="72">
          <cell r="D72">
            <v>28192</v>
          </cell>
        </row>
        <row r="73">
          <cell r="D73">
            <v>19821</v>
          </cell>
        </row>
        <row r="74">
          <cell r="D74">
            <v>1804</v>
          </cell>
        </row>
        <row r="75">
          <cell r="D75">
            <v>9544</v>
          </cell>
        </row>
        <row r="76">
          <cell r="D76">
            <v>5855</v>
          </cell>
        </row>
        <row r="77">
          <cell r="D77">
            <v>12391</v>
          </cell>
        </row>
        <row r="78">
          <cell r="D78">
            <v>27948</v>
          </cell>
        </row>
        <row r="79">
          <cell r="D79">
            <v>12238</v>
          </cell>
        </row>
        <row r="80">
          <cell r="D80">
            <v>1658</v>
          </cell>
        </row>
        <row r="81">
          <cell r="D81">
            <v>53322</v>
          </cell>
        </row>
        <row r="82">
          <cell r="D82">
            <v>16567</v>
          </cell>
        </row>
        <row r="83">
          <cell r="D83">
            <v>5836</v>
          </cell>
        </row>
        <row r="84">
          <cell r="D84">
            <v>10403</v>
          </cell>
        </row>
        <row r="85">
          <cell r="D85">
            <v>93389</v>
          </cell>
        </row>
        <row r="86">
          <cell r="D86">
            <v>921475</v>
          </cell>
        </row>
        <row r="87">
          <cell r="D87">
            <v>259936</v>
          </cell>
        </row>
        <row r="88">
          <cell r="D88">
            <v>194943</v>
          </cell>
        </row>
        <row r="89">
          <cell r="D89">
            <v>22141</v>
          </cell>
        </row>
        <row r="90">
          <cell r="D90">
            <v>93421</v>
          </cell>
        </row>
        <row r="91">
          <cell r="D91">
            <v>68416</v>
          </cell>
        </row>
        <row r="92">
          <cell r="D92">
            <v>138754</v>
          </cell>
        </row>
        <row r="93">
          <cell r="D93">
            <v>266461</v>
          </cell>
        </row>
        <row r="94">
          <cell r="D94">
            <v>105523</v>
          </cell>
        </row>
        <row r="95">
          <cell r="D95">
            <v>18249</v>
          </cell>
        </row>
        <row r="96">
          <cell r="D96">
            <v>413284</v>
          </cell>
        </row>
        <row r="97">
          <cell r="D97">
            <v>129384</v>
          </cell>
        </row>
        <row r="98">
          <cell r="D98">
            <v>64958</v>
          </cell>
        </row>
        <row r="99">
          <cell r="D99">
            <v>297</v>
          </cell>
        </row>
        <row r="100">
          <cell r="D100">
            <v>85</v>
          </cell>
        </row>
        <row r="101">
          <cell r="D101">
            <v>2038</v>
          </cell>
        </row>
        <row r="102">
          <cell r="D102">
            <v>545</v>
          </cell>
        </row>
        <row r="103">
          <cell r="D103">
            <v>373</v>
          </cell>
        </row>
        <row r="104">
          <cell r="D104">
            <v>24</v>
          </cell>
        </row>
        <row r="105">
          <cell r="D105">
            <v>124</v>
          </cell>
        </row>
        <row r="106">
          <cell r="D106">
            <v>150</v>
          </cell>
        </row>
        <row r="107">
          <cell r="D107">
            <v>284</v>
          </cell>
        </row>
        <row r="108">
          <cell r="D108">
            <v>612</v>
          </cell>
        </row>
        <row r="109">
          <cell r="D109">
            <v>249</v>
          </cell>
        </row>
        <row r="110">
          <cell r="D110">
            <v>24</v>
          </cell>
        </row>
        <row r="111">
          <cell r="D111">
            <v>880</v>
          </cell>
        </row>
        <row r="112">
          <cell r="D112">
            <v>272</v>
          </cell>
        </row>
        <row r="113">
          <cell r="D113">
            <v>126</v>
          </cell>
        </row>
        <row r="114">
          <cell r="D114">
            <v>3986</v>
          </cell>
        </row>
        <row r="115">
          <cell r="D115">
            <v>4611</v>
          </cell>
        </row>
        <row r="116">
          <cell r="D116">
            <v>37682</v>
          </cell>
        </row>
        <row r="117">
          <cell r="D117">
            <v>14755</v>
          </cell>
        </row>
        <row r="118">
          <cell r="D118">
            <v>11830</v>
          </cell>
        </row>
        <row r="119">
          <cell r="D119">
            <v>1230</v>
          </cell>
        </row>
        <row r="120">
          <cell r="D120">
            <v>5104</v>
          </cell>
        </row>
        <row r="121">
          <cell r="D121">
            <v>5535</v>
          </cell>
        </row>
        <row r="122">
          <cell r="D122">
            <v>9702</v>
          </cell>
        </row>
        <row r="123">
          <cell r="D123">
            <v>17464</v>
          </cell>
        </row>
        <row r="124">
          <cell r="D124">
            <v>8500</v>
          </cell>
        </row>
        <row r="125">
          <cell r="D125">
            <v>1780</v>
          </cell>
        </row>
        <row r="126">
          <cell r="D126">
            <v>25854</v>
          </cell>
        </row>
        <row r="127">
          <cell r="D127">
            <v>7727</v>
          </cell>
        </row>
        <row r="128">
          <cell r="D128">
            <v>4207</v>
          </cell>
        </row>
        <row r="129">
          <cell r="D129">
            <v>11306</v>
          </cell>
        </row>
        <row r="130">
          <cell r="D130">
            <v>3326</v>
          </cell>
        </row>
        <row r="131">
          <cell r="D131">
            <v>23550</v>
          </cell>
        </row>
        <row r="132">
          <cell r="D132">
            <v>10487</v>
          </cell>
        </row>
        <row r="133">
          <cell r="D133">
            <v>7210</v>
          </cell>
        </row>
        <row r="134">
          <cell r="D134">
            <v>1001</v>
          </cell>
        </row>
        <row r="135">
          <cell r="D135">
            <v>3397</v>
          </cell>
        </row>
        <row r="136">
          <cell r="D136">
            <v>2739</v>
          </cell>
        </row>
        <row r="137">
          <cell r="D137">
            <v>5404</v>
          </cell>
        </row>
        <row r="138">
          <cell r="D138">
            <v>5684</v>
          </cell>
        </row>
        <row r="139">
          <cell r="D139">
            <v>3537</v>
          </cell>
        </row>
        <row r="140">
          <cell r="D140">
            <v>950</v>
          </cell>
        </row>
        <row r="141">
          <cell r="D141">
            <v>16319</v>
          </cell>
        </row>
        <row r="142">
          <cell r="D142">
            <v>4452</v>
          </cell>
        </row>
        <row r="143">
          <cell r="D143">
            <v>2848</v>
          </cell>
        </row>
        <row r="144">
          <cell r="D144">
            <v>9315</v>
          </cell>
        </row>
        <row r="145">
          <cell r="D145">
            <v>3308</v>
          </cell>
        </row>
        <row r="146">
          <cell r="D146">
            <v>9278</v>
          </cell>
        </row>
        <row r="147">
          <cell r="D147">
            <v>8046</v>
          </cell>
        </row>
        <row r="148">
          <cell r="D148">
            <v>5387</v>
          </cell>
        </row>
        <row r="149">
          <cell r="D149">
            <v>840</v>
          </cell>
        </row>
        <row r="150">
          <cell r="D150">
            <v>2468</v>
          </cell>
        </row>
        <row r="151">
          <cell r="D151">
            <v>2399</v>
          </cell>
        </row>
        <row r="152">
          <cell r="D152">
            <v>4489</v>
          </cell>
        </row>
        <row r="153">
          <cell r="D153">
            <v>2826</v>
          </cell>
        </row>
        <row r="154">
          <cell r="D154">
            <v>3507</v>
          </cell>
        </row>
        <row r="155">
          <cell r="D155">
            <v>738</v>
          </cell>
        </row>
        <row r="156">
          <cell r="D156">
            <v>10167</v>
          </cell>
        </row>
        <row r="157">
          <cell r="D157">
            <v>2812</v>
          </cell>
        </row>
        <row r="158">
          <cell r="D158">
            <v>2252</v>
          </cell>
        </row>
        <row r="159">
          <cell r="D159">
            <v>0</v>
          </cell>
        </row>
        <row r="160">
          <cell r="D160">
            <v>70</v>
          </cell>
        </row>
        <row r="161">
          <cell r="D161">
            <v>431</v>
          </cell>
        </row>
        <row r="162">
          <cell r="D162">
            <v>209</v>
          </cell>
        </row>
        <row r="163">
          <cell r="D163">
            <v>184</v>
          </cell>
        </row>
        <row r="164">
          <cell r="D164">
            <v>11</v>
          </cell>
        </row>
        <row r="165">
          <cell r="D165">
            <v>61</v>
          </cell>
        </row>
        <row r="166">
          <cell r="D166">
            <v>28</v>
          </cell>
        </row>
        <row r="167">
          <cell r="D167">
            <v>174</v>
          </cell>
        </row>
        <row r="168">
          <cell r="D168">
            <v>89</v>
          </cell>
        </row>
        <row r="169">
          <cell r="D169">
            <v>82</v>
          </cell>
        </row>
        <row r="170">
          <cell r="D170">
            <v>45</v>
          </cell>
        </row>
        <row r="171">
          <cell r="D171">
            <v>270</v>
          </cell>
        </row>
        <row r="172">
          <cell r="D172">
            <v>283</v>
          </cell>
        </row>
        <row r="173">
          <cell r="D173">
            <v>71</v>
          </cell>
        </row>
        <row r="174">
          <cell r="D174">
            <v>0</v>
          </cell>
        </row>
        <row r="175">
          <cell r="D175">
            <v>20</v>
          </cell>
        </row>
        <row r="176">
          <cell r="D176">
            <v>345</v>
          </cell>
        </row>
        <row r="177">
          <cell r="D177">
            <v>53</v>
          </cell>
        </row>
        <row r="178">
          <cell r="D178">
            <v>72</v>
          </cell>
        </row>
        <row r="179">
          <cell r="D179">
            <v>16</v>
          </cell>
        </row>
        <row r="180">
          <cell r="D180">
            <v>32</v>
          </cell>
        </row>
        <row r="181">
          <cell r="D181">
            <v>10</v>
          </cell>
        </row>
        <row r="182">
          <cell r="D182">
            <v>27</v>
          </cell>
        </row>
        <row r="183">
          <cell r="D183">
            <v>60</v>
          </cell>
        </row>
        <row r="184">
          <cell r="D184">
            <v>42</v>
          </cell>
        </row>
        <row r="185">
          <cell r="D185">
            <v>13</v>
          </cell>
        </row>
        <row r="186">
          <cell r="D186">
            <v>127</v>
          </cell>
        </row>
        <row r="187">
          <cell r="D187">
            <v>79</v>
          </cell>
        </row>
        <row r="188">
          <cell r="D188">
            <v>23</v>
          </cell>
        </row>
        <row r="189">
          <cell r="D189">
            <v>121</v>
          </cell>
        </row>
        <row r="190">
          <cell r="D190">
            <v>7551</v>
          </cell>
        </row>
        <row r="191">
          <cell r="D191">
            <v>66857</v>
          </cell>
        </row>
        <row r="192">
          <cell r="D192">
            <v>23026</v>
          </cell>
        </row>
        <row r="193">
          <cell r="D193">
            <v>18255</v>
          </cell>
        </row>
        <row r="194">
          <cell r="D194">
            <v>2465</v>
          </cell>
        </row>
        <row r="195">
          <cell r="D195">
            <v>8347</v>
          </cell>
        </row>
        <row r="196">
          <cell r="D196">
            <v>5119</v>
          </cell>
        </row>
        <row r="197">
          <cell r="D197">
            <v>10782</v>
          </cell>
        </row>
        <row r="198">
          <cell r="D198">
            <v>16904</v>
          </cell>
        </row>
        <row r="199">
          <cell r="D199">
            <v>9420</v>
          </cell>
        </row>
        <row r="200">
          <cell r="D200">
            <v>1877</v>
          </cell>
        </row>
        <row r="201">
          <cell r="D201">
            <v>38026</v>
          </cell>
        </row>
        <row r="202">
          <cell r="D202">
            <v>11445</v>
          </cell>
        </row>
        <row r="203">
          <cell r="D203">
            <v>6477</v>
          </cell>
        </row>
        <row r="204">
          <cell r="D204">
            <v>1761</v>
          </cell>
        </row>
        <row r="205">
          <cell r="D205">
            <v>18377</v>
          </cell>
        </row>
        <row r="206">
          <cell r="D206">
            <v>63186</v>
          </cell>
        </row>
        <row r="207">
          <cell r="D207">
            <v>38069</v>
          </cell>
        </row>
        <row r="208">
          <cell r="D208">
            <v>31313</v>
          </cell>
        </row>
        <row r="209">
          <cell r="D209">
            <v>5595</v>
          </cell>
        </row>
        <row r="210">
          <cell r="D210">
            <v>15167</v>
          </cell>
        </row>
        <row r="211">
          <cell r="D211">
            <v>11284</v>
          </cell>
        </row>
        <row r="212">
          <cell r="D212">
            <v>23630</v>
          </cell>
        </row>
        <row r="213">
          <cell r="D213">
            <v>23171</v>
          </cell>
        </row>
        <row r="214">
          <cell r="D214">
            <v>18105</v>
          </cell>
        </row>
        <row r="215">
          <cell r="D215">
            <v>4292</v>
          </cell>
        </row>
        <row r="216">
          <cell r="D216">
            <v>48036</v>
          </cell>
        </row>
        <row r="217">
          <cell r="D217">
            <v>18056</v>
          </cell>
        </row>
        <row r="218">
          <cell r="D218">
            <v>13129</v>
          </cell>
        </row>
        <row r="228">
          <cell r="D228">
            <v>4753802.28</v>
          </cell>
        </row>
        <row r="229">
          <cell r="D229">
            <v>8889338.9199999999</v>
          </cell>
        </row>
        <row r="230">
          <cell r="D230">
            <v>103881156.65000001</v>
          </cell>
        </row>
        <row r="231">
          <cell r="D231">
            <v>15399762.84</v>
          </cell>
        </row>
        <row r="232">
          <cell r="D232">
            <v>14721747.23</v>
          </cell>
        </row>
        <row r="233">
          <cell r="D233">
            <v>1234950.33</v>
          </cell>
        </row>
        <row r="234">
          <cell r="D234">
            <v>4730201.6900000004</v>
          </cell>
        </row>
        <row r="235">
          <cell r="D235">
            <v>2255224.34</v>
          </cell>
        </row>
        <row r="236">
          <cell r="D236">
            <v>7240500.9199999999</v>
          </cell>
        </row>
        <row r="237">
          <cell r="D237">
            <v>20743692.59</v>
          </cell>
        </row>
        <row r="238">
          <cell r="D238">
            <v>5792051.5199999996</v>
          </cell>
        </row>
        <row r="239">
          <cell r="D239">
            <v>1416571.67</v>
          </cell>
        </row>
        <row r="240">
          <cell r="D240">
            <v>51184196.990000002</v>
          </cell>
        </row>
        <row r="241">
          <cell r="D241">
            <v>16454363.82</v>
          </cell>
        </row>
        <row r="242">
          <cell r="D242">
            <v>6476889.5800000001</v>
          </cell>
        </row>
        <row r="243">
          <cell r="D243">
            <v>17797.240000000002</v>
          </cell>
        </row>
        <row r="244">
          <cell r="D244">
            <v>1015206.61</v>
          </cell>
        </row>
        <row r="245">
          <cell r="D245">
            <v>3600656.39</v>
          </cell>
        </row>
        <row r="246">
          <cell r="D246">
            <v>2524519.4700000002</v>
          </cell>
        </row>
        <row r="247">
          <cell r="D247">
            <v>2025795.7</v>
          </cell>
        </row>
        <row r="248">
          <cell r="D248">
            <v>463045.51</v>
          </cell>
        </row>
        <row r="249">
          <cell r="D249">
            <v>259825.56</v>
          </cell>
        </row>
        <row r="250">
          <cell r="D250">
            <v>1112641.83</v>
          </cell>
        </row>
        <row r="251">
          <cell r="D251">
            <v>1071464.74</v>
          </cell>
        </row>
        <row r="252">
          <cell r="D252">
            <v>540098.16</v>
          </cell>
        </row>
        <row r="253">
          <cell r="D253">
            <v>1108244.78</v>
          </cell>
        </row>
        <row r="254">
          <cell r="D254">
            <v>231172.79</v>
          </cell>
        </row>
        <row r="255">
          <cell r="D255">
            <v>4644945.13</v>
          </cell>
        </row>
        <row r="256">
          <cell r="D256">
            <v>872748.5</v>
          </cell>
        </row>
        <row r="257">
          <cell r="D257">
            <v>842731.23</v>
          </cell>
        </row>
        <row r="258">
          <cell r="D258">
            <v>0</v>
          </cell>
        </row>
        <row r="259">
          <cell r="D259">
            <v>2137347.2200000002</v>
          </cell>
        </row>
        <row r="260">
          <cell r="D260">
            <v>25241269.530000001</v>
          </cell>
        </row>
        <row r="261">
          <cell r="D261">
            <v>4212860.71</v>
          </cell>
        </row>
        <row r="262">
          <cell r="D262">
            <v>3764262.2</v>
          </cell>
        </row>
        <row r="263">
          <cell r="D263">
            <v>45838.02</v>
          </cell>
        </row>
        <row r="264">
          <cell r="D264">
            <v>1954746.4</v>
          </cell>
        </row>
        <row r="265">
          <cell r="D265">
            <v>1383535.1</v>
          </cell>
        </row>
        <row r="266">
          <cell r="D266">
            <v>1420865.59</v>
          </cell>
        </row>
        <row r="267">
          <cell r="D267">
            <v>5010868.84</v>
          </cell>
        </row>
        <row r="268">
          <cell r="D268">
            <v>1314230.18</v>
          </cell>
        </row>
        <row r="269">
          <cell r="D269">
            <v>331030.86</v>
          </cell>
        </row>
        <row r="270">
          <cell r="D270">
            <v>8687876.6300000008</v>
          </cell>
        </row>
        <row r="271">
          <cell r="D271">
            <v>6833154.8799999999</v>
          </cell>
        </row>
        <row r="272">
          <cell r="D272">
            <v>658321.72</v>
          </cell>
        </row>
        <row r="273">
          <cell r="D273">
            <v>0</v>
          </cell>
        </row>
        <row r="274">
          <cell r="D274">
            <v>1955885.89</v>
          </cell>
        </row>
        <row r="275">
          <cell r="D275">
            <v>160997270.5</v>
          </cell>
        </row>
        <row r="276">
          <cell r="D276">
            <v>7355507.8099999996</v>
          </cell>
        </row>
        <row r="277">
          <cell r="D277">
            <v>6894077.6699999999</v>
          </cell>
        </row>
        <row r="278">
          <cell r="D278">
            <v>942731.23</v>
          </cell>
        </row>
        <row r="279">
          <cell r="D279">
            <v>4314373.34</v>
          </cell>
        </row>
        <row r="280">
          <cell r="D280">
            <v>2035167.61</v>
          </cell>
        </row>
        <row r="281">
          <cell r="D281">
            <v>4195802.99</v>
          </cell>
        </row>
        <row r="282">
          <cell r="D282">
            <v>51281822.630000003</v>
          </cell>
        </row>
        <row r="283">
          <cell r="D283">
            <v>3407755.06</v>
          </cell>
        </row>
        <row r="284">
          <cell r="D284">
            <v>469495.69</v>
          </cell>
        </row>
        <row r="285">
          <cell r="D285">
            <v>23535370.469999999</v>
          </cell>
        </row>
        <row r="286">
          <cell r="D286">
            <v>10614980.93</v>
          </cell>
        </row>
        <row r="287">
          <cell r="D287">
            <v>2105477.9900000002</v>
          </cell>
        </row>
        <row r="288">
          <cell r="D288">
            <v>126220.48</v>
          </cell>
        </row>
        <row r="289">
          <cell r="D289">
            <v>135341012.94</v>
          </cell>
        </row>
        <row r="290">
          <cell r="D290">
            <v>2142035462.3599999</v>
          </cell>
        </row>
        <row r="291">
          <cell r="D291">
            <v>477901001.69</v>
          </cell>
        </row>
        <row r="292">
          <cell r="D292">
            <v>332033098.39999998</v>
          </cell>
        </row>
        <row r="293">
          <cell r="D293">
            <v>24544745.469999999</v>
          </cell>
        </row>
        <row r="294">
          <cell r="D294">
            <v>140785179.25999999</v>
          </cell>
        </row>
        <row r="295">
          <cell r="D295">
            <v>86105391.540000007</v>
          </cell>
        </row>
        <row r="296">
          <cell r="D296">
            <v>195168088.52000001</v>
          </cell>
        </row>
        <row r="297">
          <cell r="D297">
            <v>420371641.98000002</v>
          </cell>
        </row>
        <row r="298">
          <cell r="D298">
            <v>168049770.90000001</v>
          </cell>
        </row>
        <row r="299">
          <cell r="D299">
            <v>27438545.170000002</v>
          </cell>
        </row>
        <row r="300">
          <cell r="D300">
            <v>884439865.88999999</v>
          </cell>
        </row>
        <row r="301">
          <cell r="D301">
            <v>282121812.25</v>
          </cell>
        </row>
        <row r="302">
          <cell r="D302">
            <v>96221015.180000007</v>
          </cell>
        </row>
        <row r="303">
          <cell r="D303">
            <v>174022.93</v>
          </cell>
        </row>
        <row r="304">
          <cell r="D304">
            <v>1052130391.16</v>
          </cell>
        </row>
        <row r="305">
          <cell r="D305">
            <v>9534944489.2800007</v>
          </cell>
        </row>
        <row r="306">
          <cell r="D306">
            <v>2987545376.8099999</v>
          </cell>
        </row>
        <row r="307">
          <cell r="D307">
            <v>2164372502.0300002</v>
          </cell>
        </row>
        <row r="308">
          <cell r="D308">
            <v>212708693.69999999</v>
          </cell>
        </row>
        <row r="309">
          <cell r="D309">
            <v>955957185.86000001</v>
          </cell>
        </row>
        <row r="310">
          <cell r="D310">
            <v>703146732.46000004</v>
          </cell>
        </row>
        <row r="311">
          <cell r="D311">
            <v>1423156627.28</v>
          </cell>
        </row>
        <row r="312">
          <cell r="D312">
            <v>2714532431.6399999</v>
          </cell>
        </row>
        <row r="313">
          <cell r="D313">
            <v>929924085.53999996</v>
          </cell>
        </row>
        <row r="314">
          <cell r="D314">
            <v>182342490.97</v>
          </cell>
        </row>
        <row r="315">
          <cell r="D315">
            <v>3958032214.98</v>
          </cell>
        </row>
        <row r="316">
          <cell r="D316">
            <v>1238342680.0599999</v>
          </cell>
        </row>
        <row r="317">
          <cell r="D317">
            <v>637289808.00999999</v>
          </cell>
        </row>
        <row r="318">
          <cell r="D318">
            <v>3725210.89</v>
          </cell>
        </row>
        <row r="319">
          <cell r="D319">
            <v>318851.75</v>
          </cell>
        </row>
        <row r="320">
          <cell r="D320">
            <v>9456853.4600000009</v>
          </cell>
        </row>
        <row r="321">
          <cell r="D321">
            <v>2376091.48</v>
          </cell>
        </row>
        <row r="322">
          <cell r="D322">
            <v>1131364.71</v>
          </cell>
        </row>
        <row r="323">
          <cell r="D323">
            <v>51003.93</v>
          </cell>
        </row>
        <row r="324">
          <cell r="D324">
            <v>401487.4</v>
          </cell>
        </row>
        <row r="325">
          <cell r="D325">
            <v>387107.15</v>
          </cell>
        </row>
        <row r="326">
          <cell r="D326">
            <v>1077869.97</v>
          </cell>
        </row>
        <row r="327">
          <cell r="D327">
            <v>2731525.98</v>
          </cell>
        </row>
        <row r="328">
          <cell r="D328">
            <v>631051.9</v>
          </cell>
        </row>
        <row r="329">
          <cell r="D329">
            <v>55566.03</v>
          </cell>
        </row>
        <row r="330">
          <cell r="D330">
            <v>5559247.7699999996</v>
          </cell>
        </row>
        <row r="331">
          <cell r="D331">
            <v>812043.22</v>
          </cell>
        </row>
        <row r="332">
          <cell r="D332">
            <v>303712.92</v>
          </cell>
        </row>
        <row r="333">
          <cell r="D333">
            <v>12658760.92</v>
          </cell>
        </row>
        <row r="334">
          <cell r="D334">
            <v>11903301.060000001</v>
          </cell>
        </row>
        <row r="335">
          <cell r="D335">
            <v>100024022.12</v>
          </cell>
        </row>
        <row r="336">
          <cell r="D336">
            <v>36813029.100000001</v>
          </cell>
        </row>
        <row r="337">
          <cell r="D337">
            <v>30585727.579999998</v>
          </cell>
        </row>
        <row r="338">
          <cell r="D338">
            <v>2869045.95</v>
          </cell>
        </row>
        <row r="339">
          <cell r="D339">
            <v>12131994.43</v>
          </cell>
        </row>
        <row r="340">
          <cell r="D340">
            <v>11784455.609999999</v>
          </cell>
        </row>
        <row r="341">
          <cell r="D341">
            <v>22434399.969999999</v>
          </cell>
        </row>
        <row r="342">
          <cell r="D342">
            <v>44124891.82</v>
          </cell>
        </row>
        <row r="343">
          <cell r="D343">
            <v>19152878.710000001</v>
          </cell>
        </row>
        <row r="344">
          <cell r="D344">
            <v>3916275.47</v>
          </cell>
        </row>
        <row r="345">
          <cell r="D345">
            <v>54031386.259999998</v>
          </cell>
        </row>
        <row r="346">
          <cell r="D346">
            <v>15443753.52</v>
          </cell>
        </row>
        <row r="347">
          <cell r="D347">
            <v>7574030.0499999998</v>
          </cell>
        </row>
        <row r="348">
          <cell r="D348">
            <v>27405245.640000001</v>
          </cell>
        </row>
        <row r="349">
          <cell r="D349">
            <v>102581732.78</v>
          </cell>
        </row>
        <row r="350">
          <cell r="D350">
            <v>618758733.92999995</v>
          </cell>
        </row>
        <row r="351">
          <cell r="D351">
            <v>284227982.13999999</v>
          </cell>
        </row>
        <row r="352">
          <cell r="D352">
            <v>241832414.53</v>
          </cell>
        </row>
        <row r="353">
          <cell r="D353">
            <v>29803040.140000001</v>
          </cell>
        </row>
        <row r="354">
          <cell r="D354">
            <v>94648770.230000004</v>
          </cell>
        </row>
        <row r="355">
          <cell r="D355">
            <v>74902850.620000005</v>
          </cell>
        </row>
        <row r="356">
          <cell r="D356">
            <v>148789881.31</v>
          </cell>
        </row>
        <row r="357">
          <cell r="D357">
            <v>135537872.88</v>
          </cell>
        </row>
        <row r="358">
          <cell r="D358">
            <v>90774849.469999999</v>
          </cell>
        </row>
        <row r="359">
          <cell r="D359">
            <v>27629326.870000001</v>
          </cell>
        </row>
        <row r="360">
          <cell r="D360">
            <v>397498910.11000001</v>
          </cell>
        </row>
        <row r="361">
          <cell r="D361">
            <v>108240309.98999999</v>
          </cell>
        </row>
        <row r="362">
          <cell r="D362">
            <v>86246303.670000002</v>
          </cell>
        </row>
        <row r="363">
          <cell r="D363">
            <v>23607755.93</v>
          </cell>
        </row>
        <row r="364">
          <cell r="D364">
            <v>29442731.399999999</v>
          </cell>
        </row>
        <row r="365">
          <cell r="D365">
            <v>102081401.59</v>
          </cell>
        </row>
        <row r="366">
          <cell r="D366">
            <v>65804173.310000002</v>
          </cell>
        </row>
        <row r="367">
          <cell r="D367">
            <v>44808779.799999997</v>
          </cell>
        </row>
        <row r="368">
          <cell r="D368">
            <v>6279007.0700000003</v>
          </cell>
        </row>
        <row r="369">
          <cell r="D369">
            <v>18293939.140000001</v>
          </cell>
        </row>
        <row r="370">
          <cell r="D370">
            <v>18372989.82</v>
          </cell>
        </row>
        <row r="371">
          <cell r="D371">
            <v>37349799.420000002</v>
          </cell>
        </row>
        <row r="372">
          <cell r="D372">
            <v>24849342.640000001</v>
          </cell>
        </row>
        <row r="373">
          <cell r="D373">
            <v>22736992.27</v>
          </cell>
        </row>
        <row r="374">
          <cell r="D374">
            <v>4310142.97</v>
          </cell>
        </row>
        <row r="375">
          <cell r="D375">
            <v>71826338.25</v>
          </cell>
        </row>
        <row r="376">
          <cell r="D376">
            <v>19634976.309999999</v>
          </cell>
        </row>
        <row r="377">
          <cell r="D377">
            <v>16360092.220000001</v>
          </cell>
        </row>
        <row r="378">
          <cell r="D378">
            <v>0</v>
          </cell>
        </row>
        <row r="379">
          <cell r="D379">
            <v>1609580.41</v>
          </cell>
        </row>
        <row r="380">
          <cell r="D380">
            <v>12037394.039999999</v>
          </cell>
        </row>
        <row r="381">
          <cell r="D381">
            <v>5766042.2699999996</v>
          </cell>
        </row>
        <row r="382">
          <cell r="D382">
            <v>4021803.91</v>
          </cell>
        </row>
        <row r="383">
          <cell r="D383">
            <v>207258.77</v>
          </cell>
        </row>
        <row r="384">
          <cell r="D384">
            <v>1172550.3999999999</v>
          </cell>
        </row>
        <row r="385">
          <cell r="D385">
            <v>675895.57</v>
          </cell>
        </row>
        <row r="386">
          <cell r="D386">
            <v>2557668.9300000002</v>
          </cell>
        </row>
        <row r="387">
          <cell r="D387">
            <v>3353957.1</v>
          </cell>
        </row>
        <row r="388">
          <cell r="D388">
            <v>2004341.19</v>
          </cell>
        </row>
        <row r="389">
          <cell r="D389">
            <v>655998.79</v>
          </cell>
        </row>
        <row r="390">
          <cell r="D390">
            <v>6527187.9500000002</v>
          </cell>
        </row>
        <row r="391">
          <cell r="D391">
            <v>7136060.8499999996</v>
          </cell>
        </row>
        <row r="392">
          <cell r="D392">
            <v>1323370.8500000001</v>
          </cell>
        </row>
        <row r="393">
          <cell r="D393">
            <v>0</v>
          </cell>
        </row>
        <row r="394">
          <cell r="D394">
            <v>495408.19</v>
          </cell>
        </row>
        <row r="395">
          <cell r="D395">
            <v>13384753.779999999</v>
          </cell>
        </row>
        <row r="396">
          <cell r="D396">
            <v>1335933.71</v>
          </cell>
        </row>
        <row r="397">
          <cell r="D397">
            <v>2336693.9700000002</v>
          </cell>
        </row>
        <row r="398">
          <cell r="D398">
            <v>381960.7</v>
          </cell>
        </row>
        <row r="399">
          <cell r="D399">
            <v>955284.93</v>
          </cell>
        </row>
        <row r="400">
          <cell r="D400">
            <v>268032.84000000003</v>
          </cell>
        </row>
        <row r="401">
          <cell r="D401">
            <v>693115.58</v>
          </cell>
        </row>
        <row r="402">
          <cell r="D402">
            <v>2573470.19</v>
          </cell>
        </row>
        <row r="403">
          <cell r="D403">
            <v>960611.93</v>
          </cell>
        </row>
        <row r="404">
          <cell r="D404">
            <v>307623.75</v>
          </cell>
        </row>
        <row r="405">
          <cell r="D405">
            <v>3753501.92</v>
          </cell>
        </row>
        <row r="406">
          <cell r="D406">
            <v>2540926.2599999998</v>
          </cell>
        </row>
        <row r="407">
          <cell r="D407">
            <v>730015.61</v>
          </cell>
        </row>
        <row r="408">
          <cell r="D408">
            <v>84328.639999999999</v>
          </cell>
        </row>
        <row r="409">
          <cell r="D409">
            <v>146513677.25999999</v>
          </cell>
        </row>
        <row r="410">
          <cell r="D410">
            <v>1222020677.3699999</v>
          </cell>
        </row>
        <row r="411">
          <cell r="D411">
            <v>453149267.23000002</v>
          </cell>
        </row>
        <row r="412">
          <cell r="D412">
            <v>352532310.31</v>
          </cell>
        </row>
        <row r="413">
          <cell r="D413">
            <v>46198420.240000002</v>
          </cell>
        </row>
        <row r="414">
          <cell r="D414">
            <v>147711852.75999999</v>
          </cell>
        </row>
        <row r="415">
          <cell r="D415">
            <v>88219447.549999997</v>
          </cell>
        </row>
        <row r="416">
          <cell r="D416">
            <v>196915560.25999999</v>
          </cell>
        </row>
        <row r="417">
          <cell r="D417">
            <v>302217587.44</v>
          </cell>
        </row>
        <row r="418">
          <cell r="D418">
            <v>153460832.11000001</v>
          </cell>
        </row>
        <row r="419">
          <cell r="D419">
            <v>35466633.340000004</v>
          </cell>
        </row>
        <row r="420">
          <cell r="D420">
            <v>706657035.01999998</v>
          </cell>
        </row>
        <row r="421">
          <cell r="D421">
            <v>207130039.34</v>
          </cell>
        </row>
        <row r="422">
          <cell r="D422">
            <v>124517426.61</v>
          </cell>
        </row>
        <row r="423">
          <cell r="D423">
            <v>63582.18</v>
          </cell>
        </row>
        <row r="424">
          <cell r="D424">
            <v>219809527.93000001</v>
          </cell>
        </row>
        <row r="425">
          <cell r="D425">
            <v>781156535.80999994</v>
          </cell>
        </row>
        <row r="426">
          <cell r="D426">
            <v>474843147.49000001</v>
          </cell>
        </row>
        <row r="427">
          <cell r="D427">
            <v>369668546.01999998</v>
          </cell>
        </row>
        <row r="428">
          <cell r="D428">
            <v>64299739.759999998</v>
          </cell>
        </row>
        <row r="429">
          <cell r="D429">
            <v>170806449.86000001</v>
          </cell>
        </row>
        <row r="430">
          <cell r="D430">
            <v>125803136.73999999</v>
          </cell>
        </row>
        <row r="431">
          <cell r="D431">
            <v>272639640.49000001</v>
          </cell>
        </row>
        <row r="432">
          <cell r="D432">
            <v>265605243.13999999</v>
          </cell>
        </row>
        <row r="433">
          <cell r="D433">
            <v>182112517.31</v>
          </cell>
        </row>
        <row r="434">
          <cell r="D434">
            <v>45119453.920000002</v>
          </cell>
        </row>
        <row r="435">
          <cell r="D435">
            <v>533554804.36000001</v>
          </cell>
        </row>
        <row r="436">
          <cell r="D436">
            <v>198852749.91999999</v>
          </cell>
        </row>
        <row r="437">
          <cell r="D437">
            <v>151486166.06999999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_18 fleet_v3"/>
    </sheetNames>
    <sheetDataSet>
      <sheetData sheetId="0">
        <row r="10">
          <cell r="D10">
            <v>114</v>
          </cell>
        </row>
        <row r="11">
          <cell r="D11">
            <v>395</v>
          </cell>
        </row>
        <row r="12">
          <cell r="D12">
            <v>2834</v>
          </cell>
        </row>
        <row r="13">
          <cell r="D13">
            <v>564</v>
          </cell>
        </row>
        <row r="14">
          <cell r="D14">
            <v>633</v>
          </cell>
        </row>
        <row r="15">
          <cell r="D15">
            <v>59</v>
          </cell>
        </row>
        <row r="16">
          <cell r="D16">
            <v>313</v>
          </cell>
        </row>
        <row r="17">
          <cell r="D17">
            <v>108</v>
          </cell>
        </row>
        <row r="18">
          <cell r="D18">
            <v>355</v>
          </cell>
        </row>
        <row r="19">
          <cell r="D19">
            <v>791</v>
          </cell>
        </row>
        <row r="20">
          <cell r="D20">
            <v>265</v>
          </cell>
        </row>
        <row r="21">
          <cell r="D21">
            <v>84</v>
          </cell>
        </row>
        <row r="22">
          <cell r="D22">
            <v>1477</v>
          </cell>
        </row>
        <row r="23">
          <cell r="D23">
            <v>677</v>
          </cell>
        </row>
        <row r="24">
          <cell r="D24">
            <v>313</v>
          </cell>
        </row>
        <row r="25">
          <cell r="D25">
            <v>37</v>
          </cell>
        </row>
        <row r="26">
          <cell r="D26">
            <v>102</v>
          </cell>
        </row>
        <row r="27">
          <cell r="D27">
            <v>303</v>
          </cell>
        </row>
        <row r="28">
          <cell r="D28">
            <v>241</v>
          </cell>
        </row>
        <row r="29">
          <cell r="D29">
            <v>192</v>
          </cell>
        </row>
        <row r="30">
          <cell r="D30">
            <v>34</v>
          </cell>
        </row>
        <row r="31">
          <cell r="D31">
            <v>48</v>
          </cell>
        </row>
        <row r="32">
          <cell r="D32">
            <v>90</v>
          </cell>
        </row>
        <row r="33">
          <cell r="D33">
            <v>106</v>
          </cell>
        </row>
        <row r="34">
          <cell r="D34">
            <v>58</v>
          </cell>
        </row>
        <row r="35">
          <cell r="D35">
            <v>127</v>
          </cell>
        </row>
        <row r="36">
          <cell r="D36">
            <v>30</v>
          </cell>
        </row>
        <row r="37">
          <cell r="D37">
            <v>398</v>
          </cell>
        </row>
        <row r="38">
          <cell r="D38">
            <v>113</v>
          </cell>
        </row>
        <row r="39">
          <cell r="D39">
            <v>92</v>
          </cell>
        </row>
        <row r="40">
          <cell r="D40">
            <v>1</v>
          </cell>
        </row>
        <row r="41">
          <cell r="D41">
            <v>73</v>
          </cell>
        </row>
        <row r="42">
          <cell r="D42">
            <v>1162</v>
          </cell>
        </row>
        <row r="43">
          <cell r="D43">
            <v>163</v>
          </cell>
        </row>
        <row r="44">
          <cell r="D44">
            <v>180</v>
          </cell>
        </row>
        <row r="45">
          <cell r="D45">
            <v>3</v>
          </cell>
        </row>
        <row r="46">
          <cell r="D46">
            <v>90</v>
          </cell>
        </row>
        <row r="47">
          <cell r="D47">
            <v>45</v>
          </cell>
        </row>
        <row r="48">
          <cell r="D48">
            <v>62</v>
          </cell>
        </row>
        <row r="49">
          <cell r="D49">
            <v>258</v>
          </cell>
        </row>
        <row r="50">
          <cell r="D50">
            <v>87</v>
          </cell>
        </row>
        <row r="51">
          <cell r="D51">
            <v>20</v>
          </cell>
        </row>
        <row r="52">
          <cell r="D52">
            <v>380</v>
          </cell>
        </row>
        <row r="53">
          <cell r="D53">
            <v>280</v>
          </cell>
        </row>
        <row r="54">
          <cell r="D54">
            <v>41</v>
          </cell>
        </row>
        <row r="55">
          <cell r="D55">
            <v>1</v>
          </cell>
        </row>
        <row r="56">
          <cell r="D56">
            <v>77</v>
          </cell>
        </row>
        <row r="57">
          <cell r="D57">
            <v>7544</v>
          </cell>
        </row>
        <row r="58">
          <cell r="D58">
            <v>459</v>
          </cell>
        </row>
        <row r="59">
          <cell r="D59">
            <v>341</v>
          </cell>
        </row>
        <row r="60">
          <cell r="D60">
            <v>33</v>
          </cell>
        </row>
        <row r="61">
          <cell r="D61">
            <v>153</v>
          </cell>
        </row>
        <row r="62">
          <cell r="D62">
            <v>48</v>
          </cell>
        </row>
        <row r="63">
          <cell r="D63">
            <v>142</v>
          </cell>
        </row>
        <row r="64">
          <cell r="D64">
            <v>2285</v>
          </cell>
        </row>
        <row r="65">
          <cell r="D65">
            <v>126</v>
          </cell>
        </row>
        <row r="66">
          <cell r="D66">
            <v>14</v>
          </cell>
        </row>
        <row r="67">
          <cell r="D67">
            <v>1622</v>
          </cell>
        </row>
        <row r="68">
          <cell r="D68">
            <v>418</v>
          </cell>
        </row>
        <row r="69">
          <cell r="D69">
            <v>69</v>
          </cell>
        </row>
        <row r="70">
          <cell r="D70">
            <v>312</v>
          </cell>
        </row>
        <row r="71">
          <cell r="D71">
            <v>8632</v>
          </cell>
        </row>
        <row r="72">
          <cell r="D72">
            <v>143437</v>
          </cell>
        </row>
        <row r="73">
          <cell r="D73">
            <v>28184</v>
          </cell>
        </row>
        <row r="74">
          <cell r="D74">
            <v>19985</v>
          </cell>
        </row>
        <row r="75">
          <cell r="D75">
            <v>1831</v>
          </cell>
        </row>
        <row r="76">
          <cell r="D76">
            <v>9726</v>
          </cell>
        </row>
        <row r="77">
          <cell r="D77">
            <v>6022</v>
          </cell>
        </row>
        <row r="78">
          <cell r="D78">
            <v>12400</v>
          </cell>
        </row>
        <row r="79">
          <cell r="D79">
            <v>28751</v>
          </cell>
        </row>
        <row r="80">
          <cell r="D80">
            <v>14033</v>
          </cell>
        </row>
        <row r="81">
          <cell r="D81">
            <v>1804</v>
          </cell>
        </row>
        <row r="82">
          <cell r="D82">
            <v>54784</v>
          </cell>
        </row>
        <row r="83">
          <cell r="D83">
            <v>25378</v>
          </cell>
        </row>
        <row r="84">
          <cell r="D84">
            <v>5768</v>
          </cell>
        </row>
        <row r="85">
          <cell r="D85">
            <v>10438</v>
          </cell>
        </row>
        <row r="86">
          <cell r="D86">
            <v>98774</v>
          </cell>
        </row>
        <row r="87">
          <cell r="D87">
            <v>924454</v>
          </cell>
        </row>
        <row r="88">
          <cell r="D88">
            <v>256699</v>
          </cell>
        </row>
        <row r="89">
          <cell r="D89">
            <v>198806</v>
          </cell>
        </row>
        <row r="90">
          <cell r="D90">
            <v>21472</v>
          </cell>
        </row>
        <row r="91">
          <cell r="D91">
            <v>91934</v>
          </cell>
        </row>
        <row r="92">
          <cell r="D92">
            <v>69582</v>
          </cell>
        </row>
        <row r="93">
          <cell r="D93">
            <v>137766</v>
          </cell>
        </row>
        <row r="94">
          <cell r="D94">
            <v>270016</v>
          </cell>
        </row>
        <row r="95">
          <cell r="D95">
            <v>108506</v>
          </cell>
        </row>
        <row r="96">
          <cell r="D96">
            <v>18315</v>
          </cell>
        </row>
        <row r="97">
          <cell r="D97">
            <v>413447</v>
          </cell>
        </row>
        <row r="98">
          <cell r="D98">
            <v>193702</v>
          </cell>
        </row>
        <row r="99">
          <cell r="D99">
            <v>65095</v>
          </cell>
        </row>
        <row r="100">
          <cell r="D100">
            <v>358</v>
          </cell>
        </row>
        <row r="101">
          <cell r="D101">
            <v>98</v>
          </cell>
        </row>
        <row r="102">
          <cell r="D102">
            <v>2052</v>
          </cell>
        </row>
        <row r="103">
          <cell r="D103">
            <v>460</v>
          </cell>
        </row>
        <row r="104">
          <cell r="D104">
            <v>370</v>
          </cell>
        </row>
        <row r="105">
          <cell r="D105">
            <v>16</v>
          </cell>
        </row>
        <row r="106">
          <cell r="D106">
            <v>130</v>
          </cell>
        </row>
        <row r="107">
          <cell r="D107">
            <v>164</v>
          </cell>
        </row>
        <row r="108">
          <cell r="D108">
            <v>252</v>
          </cell>
        </row>
        <row r="109">
          <cell r="D109">
            <v>640</v>
          </cell>
        </row>
        <row r="110">
          <cell r="D110">
            <v>231</v>
          </cell>
        </row>
        <row r="111">
          <cell r="D111">
            <v>28</v>
          </cell>
        </row>
        <row r="112">
          <cell r="D112">
            <v>835</v>
          </cell>
        </row>
        <row r="113">
          <cell r="D113">
            <v>311</v>
          </cell>
        </row>
        <row r="114">
          <cell r="D114">
            <v>124</v>
          </cell>
        </row>
        <row r="115">
          <cell r="D115">
            <v>6227</v>
          </cell>
        </row>
        <row r="116">
          <cell r="D116">
            <v>4764</v>
          </cell>
        </row>
        <row r="117">
          <cell r="D117">
            <v>38365</v>
          </cell>
        </row>
        <row r="118">
          <cell r="D118">
            <v>15168</v>
          </cell>
        </row>
        <row r="119">
          <cell r="D119">
            <v>12379</v>
          </cell>
        </row>
        <row r="120">
          <cell r="D120">
            <v>1237</v>
          </cell>
        </row>
        <row r="121">
          <cell r="D121">
            <v>5315</v>
          </cell>
        </row>
        <row r="122">
          <cell r="D122">
            <v>5612</v>
          </cell>
        </row>
        <row r="123">
          <cell r="D123">
            <v>9375</v>
          </cell>
        </row>
        <row r="124">
          <cell r="D124">
            <v>17927</v>
          </cell>
        </row>
        <row r="125">
          <cell r="D125">
            <v>8702</v>
          </cell>
        </row>
        <row r="126">
          <cell r="D126">
            <v>1770</v>
          </cell>
        </row>
        <row r="127">
          <cell r="D127">
            <v>26153</v>
          </cell>
        </row>
        <row r="128">
          <cell r="D128">
            <v>9031</v>
          </cell>
        </row>
        <row r="129">
          <cell r="D129">
            <v>4232</v>
          </cell>
        </row>
        <row r="130">
          <cell r="D130">
            <v>12813</v>
          </cell>
        </row>
        <row r="131">
          <cell r="D131">
            <v>3321</v>
          </cell>
        </row>
        <row r="132">
          <cell r="D132">
            <v>24565</v>
          </cell>
        </row>
        <row r="133">
          <cell r="D133">
            <v>10602</v>
          </cell>
        </row>
        <row r="134">
          <cell r="D134">
            <v>7390</v>
          </cell>
        </row>
        <row r="135">
          <cell r="D135">
            <v>824</v>
          </cell>
        </row>
        <row r="136">
          <cell r="D136">
            <v>3324</v>
          </cell>
        </row>
        <row r="137">
          <cell r="D137">
            <v>2810</v>
          </cell>
        </row>
        <row r="138">
          <cell r="D138">
            <v>5688</v>
          </cell>
        </row>
        <row r="139">
          <cell r="D139">
            <v>6156</v>
          </cell>
        </row>
        <row r="140">
          <cell r="D140">
            <v>3445</v>
          </cell>
        </row>
        <row r="141">
          <cell r="D141">
            <v>947</v>
          </cell>
        </row>
        <row r="142">
          <cell r="D142">
            <v>15712</v>
          </cell>
        </row>
        <row r="143">
          <cell r="D143">
            <v>6615</v>
          </cell>
        </row>
        <row r="144">
          <cell r="D144">
            <v>2920</v>
          </cell>
        </row>
        <row r="145">
          <cell r="D145">
            <v>10409</v>
          </cell>
        </row>
        <row r="146">
          <cell r="D146">
            <v>3363</v>
          </cell>
        </row>
        <row r="147">
          <cell r="D147">
            <v>9674</v>
          </cell>
        </row>
        <row r="148">
          <cell r="D148">
            <v>8192</v>
          </cell>
        </row>
        <row r="149">
          <cell r="D149">
            <v>5505</v>
          </cell>
        </row>
        <row r="150">
          <cell r="D150">
            <v>764</v>
          </cell>
        </row>
        <row r="151">
          <cell r="D151">
            <v>2426</v>
          </cell>
        </row>
        <row r="152">
          <cell r="D152">
            <v>2409</v>
          </cell>
        </row>
        <row r="153">
          <cell r="D153">
            <v>4604</v>
          </cell>
        </row>
        <row r="154">
          <cell r="D154">
            <v>3071</v>
          </cell>
        </row>
        <row r="155">
          <cell r="D155">
            <v>3540</v>
          </cell>
        </row>
        <row r="156">
          <cell r="D156">
            <v>739</v>
          </cell>
        </row>
        <row r="157">
          <cell r="D157">
            <v>10060</v>
          </cell>
        </row>
        <row r="158">
          <cell r="D158">
            <v>3530</v>
          </cell>
        </row>
        <row r="159">
          <cell r="D159">
            <v>2257</v>
          </cell>
        </row>
        <row r="160">
          <cell r="D160">
            <v>0</v>
          </cell>
        </row>
        <row r="161">
          <cell r="D161">
            <v>66</v>
          </cell>
        </row>
        <row r="162">
          <cell r="D162">
            <v>497</v>
          </cell>
        </row>
        <row r="163">
          <cell r="D163">
            <v>198</v>
          </cell>
        </row>
        <row r="164">
          <cell r="D164">
            <v>189</v>
          </cell>
        </row>
        <row r="165">
          <cell r="D165">
            <v>10</v>
          </cell>
        </row>
        <row r="166">
          <cell r="D166">
            <v>86</v>
          </cell>
        </row>
        <row r="167">
          <cell r="D167">
            <v>40</v>
          </cell>
        </row>
        <row r="168">
          <cell r="D168">
            <v>100</v>
          </cell>
        </row>
        <row r="169">
          <cell r="D169">
            <v>122</v>
          </cell>
        </row>
        <row r="170">
          <cell r="D170">
            <v>88</v>
          </cell>
        </row>
        <row r="171">
          <cell r="D171">
            <v>45</v>
          </cell>
        </row>
        <row r="172">
          <cell r="D172">
            <v>321</v>
          </cell>
        </row>
        <row r="173">
          <cell r="D173">
            <v>323</v>
          </cell>
        </row>
        <row r="174">
          <cell r="D174">
            <v>70</v>
          </cell>
        </row>
        <row r="175">
          <cell r="D175">
            <v>0</v>
          </cell>
        </row>
        <row r="176">
          <cell r="D176">
            <v>24</v>
          </cell>
        </row>
        <row r="177">
          <cell r="D177">
            <v>367</v>
          </cell>
        </row>
        <row r="178">
          <cell r="D178">
            <v>49</v>
          </cell>
        </row>
        <row r="179">
          <cell r="D179">
            <v>71</v>
          </cell>
        </row>
        <row r="180">
          <cell r="D180">
            <v>14</v>
          </cell>
        </row>
        <row r="181">
          <cell r="D181">
            <v>31</v>
          </cell>
        </row>
        <row r="182">
          <cell r="D182">
            <v>9</v>
          </cell>
        </row>
        <row r="183">
          <cell r="D183">
            <v>27</v>
          </cell>
        </row>
        <row r="184">
          <cell r="D184">
            <v>68</v>
          </cell>
        </row>
        <row r="185">
          <cell r="D185">
            <v>45</v>
          </cell>
        </row>
        <row r="186">
          <cell r="D186">
            <v>15</v>
          </cell>
        </row>
        <row r="187">
          <cell r="D187">
            <v>135</v>
          </cell>
        </row>
        <row r="188">
          <cell r="D188">
            <v>86</v>
          </cell>
        </row>
        <row r="189">
          <cell r="D189">
            <v>22</v>
          </cell>
        </row>
        <row r="190">
          <cell r="D190">
            <v>136</v>
          </cell>
        </row>
        <row r="191">
          <cell r="D191">
            <v>8128</v>
          </cell>
        </row>
        <row r="192">
          <cell r="D192">
            <v>70679</v>
          </cell>
        </row>
        <row r="193">
          <cell r="D193">
            <v>24761</v>
          </cell>
        </row>
        <row r="194">
          <cell r="D194">
            <v>19142</v>
          </cell>
        </row>
        <row r="195">
          <cell r="D195">
            <v>2501</v>
          </cell>
        </row>
        <row r="196">
          <cell r="D196">
            <v>8721</v>
          </cell>
        </row>
        <row r="197">
          <cell r="D197">
            <v>5385</v>
          </cell>
        </row>
        <row r="198">
          <cell r="D198">
            <v>11351</v>
          </cell>
        </row>
        <row r="199">
          <cell r="D199">
            <v>18128</v>
          </cell>
        </row>
        <row r="200">
          <cell r="D200">
            <v>10159</v>
          </cell>
        </row>
        <row r="201">
          <cell r="D201">
            <v>1978</v>
          </cell>
        </row>
        <row r="202">
          <cell r="D202">
            <v>39151</v>
          </cell>
        </row>
        <row r="203">
          <cell r="D203">
            <v>17661</v>
          </cell>
        </row>
        <row r="204">
          <cell r="D204">
            <v>6807</v>
          </cell>
        </row>
        <row r="205">
          <cell r="D205">
            <v>1755</v>
          </cell>
        </row>
        <row r="206">
          <cell r="D206">
            <v>19515</v>
          </cell>
        </row>
        <row r="207">
          <cell r="D207">
            <v>66186</v>
          </cell>
        </row>
        <row r="208">
          <cell r="D208">
            <v>39811</v>
          </cell>
        </row>
        <row r="209">
          <cell r="D209">
            <v>33036</v>
          </cell>
        </row>
        <row r="210">
          <cell r="D210">
            <v>5711</v>
          </cell>
        </row>
        <row r="211">
          <cell r="D211">
            <v>15609</v>
          </cell>
        </row>
        <row r="212">
          <cell r="D212">
            <v>11705</v>
          </cell>
        </row>
        <row r="213">
          <cell r="D213">
            <v>24522</v>
          </cell>
        </row>
        <row r="214">
          <cell r="D214">
            <v>24695</v>
          </cell>
        </row>
        <row r="215">
          <cell r="D215">
            <v>18945</v>
          </cell>
        </row>
        <row r="216">
          <cell r="D216">
            <v>4357</v>
          </cell>
        </row>
        <row r="217">
          <cell r="D217">
            <v>49204</v>
          </cell>
        </row>
        <row r="218">
          <cell r="D218">
            <v>26236</v>
          </cell>
        </row>
        <row r="219">
          <cell r="D219">
            <v>13558</v>
          </cell>
        </row>
        <row r="230">
          <cell r="D230">
            <v>4485866.04</v>
          </cell>
        </row>
        <row r="231">
          <cell r="D231">
            <v>9143415.3000000007</v>
          </cell>
        </row>
        <row r="232">
          <cell r="D232">
            <v>112682520.84</v>
          </cell>
        </row>
        <row r="233">
          <cell r="D233">
            <v>13927108.35</v>
          </cell>
        </row>
        <row r="234">
          <cell r="D234">
            <v>14509541.109999999</v>
          </cell>
        </row>
        <row r="235">
          <cell r="D235">
            <v>740495.59</v>
          </cell>
        </row>
        <row r="236">
          <cell r="D236">
            <v>4771282.79</v>
          </cell>
        </row>
        <row r="237">
          <cell r="D237">
            <v>1984114.65</v>
          </cell>
        </row>
        <row r="238">
          <cell r="D238">
            <v>7625579.7800000003</v>
          </cell>
        </row>
        <row r="239">
          <cell r="D239">
            <v>22521576.010000002</v>
          </cell>
        </row>
        <row r="240">
          <cell r="D240">
            <v>5831589.4800000004</v>
          </cell>
        </row>
        <row r="241">
          <cell r="D241">
            <v>1404419.29</v>
          </cell>
        </row>
        <row r="242">
          <cell r="D242">
            <v>53433924.109999999</v>
          </cell>
        </row>
        <row r="243">
          <cell r="D243">
            <v>20634778.649999999</v>
          </cell>
        </row>
        <row r="244">
          <cell r="D244">
            <v>6678816.2599999998</v>
          </cell>
        </row>
        <row r="245">
          <cell r="D245">
            <v>16570.77</v>
          </cell>
        </row>
        <row r="246">
          <cell r="D246">
            <v>1083986.04</v>
          </cell>
        </row>
        <row r="247">
          <cell r="D247">
            <v>3839830.19</v>
          </cell>
        </row>
        <row r="248">
          <cell r="D248">
            <v>2704416.91</v>
          </cell>
        </row>
        <row r="249">
          <cell r="D249">
            <v>2249451.7400000002</v>
          </cell>
        </row>
        <row r="250">
          <cell r="D250">
            <v>486424.5</v>
          </cell>
        </row>
        <row r="251">
          <cell r="D251">
            <v>294875.59000000003</v>
          </cell>
        </row>
        <row r="252">
          <cell r="D252">
            <v>1215718.56</v>
          </cell>
        </row>
        <row r="253">
          <cell r="D253">
            <v>1050731.69</v>
          </cell>
        </row>
        <row r="254">
          <cell r="D254">
            <v>351555.9</v>
          </cell>
        </row>
        <row r="255">
          <cell r="D255">
            <v>1359063.25</v>
          </cell>
        </row>
        <row r="256">
          <cell r="D256">
            <v>202117.79</v>
          </cell>
        </row>
        <row r="257">
          <cell r="D257">
            <v>4541893.9000000004</v>
          </cell>
        </row>
        <row r="258">
          <cell r="D258">
            <v>1004947.45</v>
          </cell>
        </row>
        <row r="259">
          <cell r="D259">
            <v>873287.66</v>
          </cell>
        </row>
        <row r="260">
          <cell r="D260">
            <v>0</v>
          </cell>
        </row>
        <row r="261">
          <cell r="D261">
            <v>2208724.7599999998</v>
          </cell>
        </row>
        <row r="262">
          <cell r="D262">
            <v>33191434.690000001</v>
          </cell>
        </row>
        <row r="263">
          <cell r="D263">
            <v>4013649.08</v>
          </cell>
        </row>
        <row r="264">
          <cell r="D264">
            <v>3866425.65</v>
          </cell>
        </row>
        <row r="265">
          <cell r="D265">
            <v>19426.62</v>
          </cell>
        </row>
        <row r="266">
          <cell r="D266">
            <v>2267253.54</v>
          </cell>
        </row>
        <row r="267">
          <cell r="D267">
            <v>1634945.94</v>
          </cell>
        </row>
        <row r="268">
          <cell r="D268">
            <v>1485330.14</v>
          </cell>
        </row>
        <row r="269">
          <cell r="D269">
            <v>6830179.1699999999</v>
          </cell>
        </row>
        <row r="270">
          <cell r="D270">
            <v>1516513.9</v>
          </cell>
        </row>
        <row r="271">
          <cell r="D271">
            <v>429153.49</v>
          </cell>
        </row>
        <row r="272">
          <cell r="D272">
            <v>8410751.9000000004</v>
          </cell>
        </row>
        <row r="273">
          <cell r="D273">
            <v>6933400.8300000001</v>
          </cell>
        </row>
        <row r="274">
          <cell r="D274">
            <v>627853.44999999995</v>
          </cell>
        </row>
        <row r="275">
          <cell r="D275">
            <v>0</v>
          </cell>
        </row>
        <row r="276">
          <cell r="D276">
            <v>1978594.25</v>
          </cell>
        </row>
        <row r="277">
          <cell r="D277">
            <v>242334702.08000001</v>
          </cell>
        </row>
        <row r="278">
          <cell r="D278">
            <v>10764632.42</v>
          </cell>
        </row>
        <row r="279">
          <cell r="D279">
            <v>9745010.1099999994</v>
          </cell>
        </row>
        <row r="280">
          <cell r="D280">
            <v>1009945.2</v>
          </cell>
        </row>
        <row r="281">
          <cell r="D281">
            <v>4424548.5199999996</v>
          </cell>
        </row>
        <row r="282">
          <cell r="D282">
            <v>1851292.58</v>
          </cell>
        </row>
        <row r="283">
          <cell r="D283">
            <v>4742789.3499999996</v>
          </cell>
        </row>
        <row r="284">
          <cell r="D284">
            <v>72596389.739999995</v>
          </cell>
        </row>
        <row r="285">
          <cell r="D285">
            <v>3757273.45</v>
          </cell>
        </row>
        <row r="286">
          <cell r="D286">
            <v>421282.73</v>
          </cell>
        </row>
        <row r="287">
          <cell r="D287">
            <v>39799142.140000001</v>
          </cell>
        </row>
        <row r="288">
          <cell r="D288">
            <v>12501952.82</v>
          </cell>
        </row>
        <row r="289">
          <cell r="D289">
            <v>2112013.14</v>
          </cell>
        </row>
        <row r="290">
          <cell r="D290">
            <v>784768.75</v>
          </cell>
        </row>
        <row r="291">
          <cell r="D291">
            <v>135891425.11000001</v>
          </cell>
        </row>
        <row r="292">
          <cell r="D292">
            <v>2157777927.98</v>
          </cell>
        </row>
        <row r="293">
          <cell r="D293">
            <v>456470377.94999999</v>
          </cell>
        </row>
        <row r="294">
          <cell r="D294">
            <v>320109793.70999998</v>
          </cell>
        </row>
        <row r="295">
          <cell r="D295">
            <v>24487114.829999998</v>
          </cell>
        </row>
        <row r="296">
          <cell r="D296">
            <v>140545874.97999999</v>
          </cell>
        </row>
        <row r="297">
          <cell r="D297">
            <v>86176913.659999996</v>
          </cell>
        </row>
        <row r="298">
          <cell r="D298">
            <v>189268379.72</v>
          </cell>
        </row>
        <row r="299">
          <cell r="D299">
            <v>419390680.51999998</v>
          </cell>
        </row>
        <row r="300">
          <cell r="D300">
            <v>196080534.55000001</v>
          </cell>
        </row>
        <row r="301">
          <cell r="D301">
            <v>31039937.350000001</v>
          </cell>
        </row>
        <row r="302">
          <cell r="D302">
            <v>902575806.88999999</v>
          </cell>
        </row>
        <row r="303">
          <cell r="D303">
            <v>395777237.12</v>
          </cell>
        </row>
        <row r="304">
          <cell r="D304">
            <v>92132721.540000007</v>
          </cell>
        </row>
        <row r="305">
          <cell r="D305">
            <v>597763.38</v>
          </cell>
        </row>
        <row r="306">
          <cell r="D306">
            <v>1082293466.6400001</v>
          </cell>
        </row>
        <row r="307">
          <cell r="D307">
            <v>9579376871.7600002</v>
          </cell>
        </row>
        <row r="308">
          <cell r="D308">
            <v>2933278191.5</v>
          </cell>
        </row>
        <row r="309">
          <cell r="D309">
            <v>2189828326.1599998</v>
          </cell>
        </row>
        <row r="310">
          <cell r="D310">
            <v>204726825.28999999</v>
          </cell>
        </row>
        <row r="311">
          <cell r="D311">
            <v>941488555.21000004</v>
          </cell>
        </row>
        <row r="312">
          <cell r="D312">
            <v>716381058.63999999</v>
          </cell>
        </row>
        <row r="313">
          <cell r="D313">
            <v>1411595620.3</v>
          </cell>
        </row>
        <row r="314">
          <cell r="D314">
            <v>2745566183.4899998</v>
          </cell>
        </row>
        <row r="315">
          <cell r="D315">
            <v>965533803.32000005</v>
          </cell>
        </row>
        <row r="316">
          <cell r="D316">
            <v>182040210.78</v>
          </cell>
        </row>
        <row r="317">
          <cell r="D317">
            <v>3961534792.3699999</v>
          </cell>
        </row>
        <row r="318">
          <cell r="D318">
            <v>1895088290.97</v>
          </cell>
        </row>
        <row r="319">
          <cell r="D319">
            <v>634860051.03999996</v>
          </cell>
        </row>
        <row r="320">
          <cell r="D320">
            <v>3744853.11</v>
          </cell>
        </row>
        <row r="321">
          <cell r="D321">
            <v>336244.8</v>
          </cell>
        </row>
        <row r="322">
          <cell r="D322">
            <v>8464646.4700000007</v>
          </cell>
        </row>
        <row r="323">
          <cell r="D323">
            <v>1583280.54</v>
          </cell>
        </row>
        <row r="324">
          <cell r="D324">
            <v>1190004.99</v>
          </cell>
        </row>
        <row r="325">
          <cell r="D325">
            <v>56734.26</v>
          </cell>
        </row>
        <row r="326">
          <cell r="D326">
            <v>572729.79</v>
          </cell>
        </row>
        <row r="327">
          <cell r="D327">
            <v>461561.16</v>
          </cell>
        </row>
        <row r="328">
          <cell r="D328">
            <v>814493.09</v>
          </cell>
        </row>
        <row r="329">
          <cell r="D329">
            <v>2481967.41</v>
          </cell>
        </row>
        <row r="330">
          <cell r="D330">
            <v>753170.78</v>
          </cell>
        </row>
        <row r="331">
          <cell r="D331">
            <v>89793.73</v>
          </cell>
        </row>
        <row r="332">
          <cell r="D332">
            <v>4846193.07</v>
          </cell>
        </row>
        <row r="333">
          <cell r="D333">
            <v>940124.6</v>
          </cell>
        </row>
        <row r="334">
          <cell r="D334">
            <v>274260.62</v>
          </cell>
        </row>
        <row r="335">
          <cell r="D335">
            <v>15855401.15</v>
          </cell>
        </row>
        <row r="336">
          <cell r="D336">
            <v>11421486.1</v>
          </cell>
        </row>
        <row r="337">
          <cell r="D337">
            <v>97519816.129999995</v>
          </cell>
        </row>
        <row r="338">
          <cell r="D338">
            <v>36322653.340000004</v>
          </cell>
        </row>
        <row r="339">
          <cell r="D339">
            <v>31155725.030000001</v>
          </cell>
        </row>
        <row r="340">
          <cell r="D340">
            <v>2810482.45</v>
          </cell>
        </row>
        <row r="341">
          <cell r="D341">
            <v>12118577.140000001</v>
          </cell>
        </row>
        <row r="342">
          <cell r="D342">
            <v>11841847.779999999</v>
          </cell>
        </row>
        <row r="343">
          <cell r="D343">
            <v>21023213.68</v>
          </cell>
        </row>
        <row r="344">
          <cell r="D344">
            <v>44156351.149999999</v>
          </cell>
        </row>
        <row r="345">
          <cell r="D345">
            <v>19031047.440000001</v>
          </cell>
        </row>
        <row r="346">
          <cell r="D346">
            <v>3881808.51</v>
          </cell>
        </row>
        <row r="347">
          <cell r="D347">
            <v>53832266.689999998</v>
          </cell>
        </row>
        <row r="348">
          <cell r="D348">
            <v>18789228.550000001</v>
          </cell>
        </row>
        <row r="349">
          <cell r="D349">
            <v>7381448.8200000003</v>
          </cell>
        </row>
        <row r="350">
          <cell r="D350">
            <v>30953347.960000001</v>
          </cell>
        </row>
        <row r="351">
          <cell r="D351">
            <v>101213153.56</v>
          </cell>
        </row>
        <row r="352">
          <cell r="D352">
            <v>647344358.76999998</v>
          </cell>
        </row>
        <row r="353">
          <cell r="D353">
            <v>286426310.63999999</v>
          </cell>
        </row>
        <row r="354">
          <cell r="D354">
            <v>251129636.75999999</v>
          </cell>
        </row>
        <row r="355">
          <cell r="D355">
            <v>23442739.780000001</v>
          </cell>
        </row>
        <row r="356">
          <cell r="D356">
            <v>89708355.730000004</v>
          </cell>
        </row>
        <row r="357">
          <cell r="D357">
            <v>78472761.870000005</v>
          </cell>
        </row>
        <row r="358">
          <cell r="D358">
            <v>160763109.06999999</v>
          </cell>
        </row>
        <row r="359">
          <cell r="D359">
            <v>154512948.55000001</v>
          </cell>
        </row>
        <row r="360">
          <cell r="D360">
            <v>88965846.260000005</v>
          </cell>
        </row>
        <row r="361">
          <cell r="D361">
            <v>27712733.09</v>
          </cell>
        </row>
        <row r="362">
          <cell r="D362">
            <v>396062097.97000003</v>
          </cell>
        </row>
        <row r="363">
          <cell r="D363">
            <v>182241925.65000001</v>
          </cell>
        </row>
        <row r="364">
          <cell r="D364">
            <v>91151994.730000004</v>
          </cell>
        </row>
        <row r="365">
          <cell r="D365">
            <v>31143356.27</v>
          </cell>
        </row>
        <row r="366">
          <cell r="D366">
            <v>29191084.760000002</v>
          </cell>
        </row>
        <row r="367">
          <cell r="D367">
            <v>106935675.61</v>
          </cell>
        </row>
        <row r="368">
          <cell r="D368">
            <v>64058559.850000001</v>
          </cell>
        </row>
        <row r="369">
          <cell r="D369">
            <v>46587542.770000003</v>
          </cell>
        </row>
        <row r="370">
          <cell r="D370">
            <v>4622783.45</v>
          </cell>
        </row>
        <row r="371">
          <cell r="D371">
            <v>16719103.93</v>
          </cell>
        </row>
        <row r="372">
          <cell r="D372">
            <v>18603448.940000001</v>
          </cell>
        </row>
        <row r="373">
          <cell r="D373">
            <v>38049893.469999999</v>
          </cell>
        </row>
        <row r="374">
          <cell r="D374">
            <v>27050771.07</v>
          </cell>
        </row>
        <row r="375">
          <cell r="D375">
            <v>22523786.899999999</v>
          </cell>
        </row>
        <row r="376">
          <cell r="D376">
            <v>4477232.01</v>
          </cell>
        </row>
        <row r="377">
          <cell r="D377">
            <v>71065455.480000004</v>
          </cell>
        </row>
        <row r="378">
          <cell r="D378">
            <v>29049398.879999999</v>
          </cell>
        </row>
        <row r="379">
          <cell r="D379">
            <v>16514352.91</v>
          </cell>
        </row>
        <row r="380">
          <cell r="D380">
            <v>0</v>
          </cell>
        </row>
        <row r="381">
          <cell r="D381">
            <v>1482720.97</v>
          </cell>
        </row>
        <row r="382">
          <cell r="D382">
            <v>13464754.439999999</v>
          </cell>
        </row>
        <row r="383">
          <cell r="D383">
            <v>5192193.3</v>
          </cell>
        </row>
        <row r="384">
          <cell r="D384">
            <v>4250531.07</v>
          </cell>
        </row>
        <row r="385">
          <cell r="D385">
            <v>206661.99</v>
          </cell>
        </row>
        <row r="386">
          <cell r="D386">
            <v>1704592.21</v>
          </cell>
        </row>
        <row r="387">
          <cell r="D387">
            <v>784004.35</v>
          </cell>
        </row>
        <row r="388">
          <cell r="D388">
            <v>2238796.5</v>
          </cell>
        </row>
        <row r="389">
          <cell r="D389">
            <v>3670089.25</v>
          </cell>
        </row>
        <row r="390">
          <cell r="D390">
            <v>2038104.15</v>
          </cell>
        </row>
        <row r="391">
          <cell r="D391">
            <v>778402.93</v>
          </cell>
        </row>
        <row r="392">
          <cell r="D392">
            <v>7952405.5800000001</v>
          </cell>
        </row>
        <row r="393">
          <cell r="D393">
            <v>7954774.2300000004</v>
          </cell>
        </row>
        <row r="394">
          <cell r="D394">
            <v>1466295.52</v>
          </cell>
        </row>
        <row r="395">
          <cell r="D395">
            <v>0</v>
          </cell>
        </row>
        <row r="396">
          <cell r="D396">
            <v>587664.59</v>
          </cell>
        </row>
        <row r="397">
          <cell r="D397">
            <v>13121003.59</v>
          </cell>
        </row>
        <row r="398">
          <cell r="D398">
            <v>1393171.17</v>
          </cell>
        </row>
        <row r="399">
          <cell r="D399">
            <v>2316881.2000000002</v>
          </cell>
        </row>
        <row r="400">
          <cell r="D400">
            <v>312422.15000000002</v>
          </cell>
        </row>
        <row r="401">
          <cell r="D401">
            <v>830386.55</v>
          </cell>
        </row>
        <row r="402">
          <cell r="D402">
            <v>253644.46</v>
          </cell>
        </row>
        <row r="403">
          <cell r="D403">
            <v>700526.47</v>
          </cell>
        </row>
        <row r="404">
          <cell r="D404">
            <v>2813578.42</v>
          </cell>
        </row>
        <row r="405">
          <cell r="D405">
            <v>927232.16</v>
          </cell>
        </row>
        <row r="406">
          <cell r="D406">
            <v>293191.05</v>
          </cell>
        </row>
        <row r="407">
          <cell r="D407">
            <v>3938660.36</v>
          </cell>
        </row>
        <row r="408">
          <cell r="D408">
            <v>2489029.4700000002</v>
          </cell>
        </row>
        <row r="409">
          <cell r="D409">
            <v>713869.99</v>
          </cell>
        </row>
        <row r="410">
          <cell r="D410">
            <v>471094.28</v>
          </cell>
        </row>
        <row r="411">
          <cell r="D411">
            <v>155662384.94999999</v>
          </cell>
        </row>
        <row r="412">
          <cell r="D412">
            <v>1301505123.23</v>
          </cell>
        </row>
        <row r="413">
          <cell r="D413">
            <v>481356050.24000001</v>
          </cell>
        </row>
        <row r="414">
          <cell r="D414">
            <v>371235258.13999999</v>
          </cell>
        </row>
        <row r="415">
          <cell r="D415">
            <v>47191848.07</v>
          </cell>
        </row>
        <row r="416">
          <cell r="D416">
            <v>155862759.27000001</v>
          </cell>
        </row>
        <row r="417">
          <cell r="D417">
            <v>93172598.950000003</v>
          </cell>
        </row>
        <row r="418">
          <cell r="D418">
            <v>208581005.74000001</v>
          </cell>
        </row>
        <row r="419">
          <cell r="D419">
            <v>327451069.88999999</v>
          </cell>
        </row>
        <row r="420">
          <cell r="D420">
            <v>169744539.72999999</v>
          </cell>
        </row>
        <row r="421">
          <cell r="D421">
            <v>35905206.759999998</v>
          </cell>
        </row>
        <row r="422">
          <cell r="D422">
            <v>732602335.04999995</v>
          </cell>
        </row>
        <row r="423">
          <cell r="D423">
            <v>308702174.39999998</v>
          </cell>
        </row>
        <row r="424">
          <cell r="D424">
            <v>128060873.45999999</v>
          </cell>
        </row>
        <row r="425">
          <cell r="D425">
            <v>233718.17</v>
          </cell>
        </row>
        <row r="426">
          <cell r="D426">
            <v>236479815.94</v>
          </cell>
        </row>
        <row r="427">
          <cell r="D427">
            <v>846743662.60000002</v>
          </cell>
        </row>
        <row r="428">
          <cell r="D428">
            <v>504957441.88</v>
          </cell>
        </row>
        <row r="429">
          <cell r="D429">
            <v>401747040.5</v>
          </cell>
        </row>
        <row r="430">
          <cell r="D430">
            <v>67573260.709999993</v>
          </cell>
        </row>
        <row r="431">
          <cell r="D431">
            <v>181285326.25999999</v>
          </cell>
        </row>
        <row r="432">
          <cell r="D432">
            <v>134460646.63999999</v>
          </cell>
        </row>
        <row r="433">
          <cell r="D433">
            <v>288612030.13</v>
          </cell>
        </row>
        <row r="434">
          <cell r="D434">
            <v>289848852.45999998</v>
          </cell>
        </row>
        <row r="435">
          <cell r="D435">
            <v>196093350.34999999</v>
          </cell>
        </row>
        <row r="436">
          <cell r="D436">
            <v>45505754.039999999</v>
          </cell>
        </row>
        <row r="437">
          <cell r="D437">
            <v>555136781.64999998</v>
          </cell>
        </row>
        <row r="438">
          <cell r="D438">
            <v>299420666.16000003</v>
          </cell>
        </row>
        <row r="439">
          <cell r="D439">
            <v>160200074.91999999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Zealand Total"/>
      <sheetName val="Northland"/>
      <sheetName val="Auckland"/>
      <sheetName val="Waikato"/>
      <sheetName val="Bay of Plenty"/>
      <sheetName val="Gisborne"/>
      <sheetName val="Hawke's Bay"/>
      <sheetName val="Taranaki"/>
      <sheetName val="Manawatu"/>
      <sheetName val="Wellington"/>
      <sheetName val="TMN"/>
      <sheetName val="West Coast"/>
      <sheetName val="Canterbury"/>
      <sheetName val="Otago"/>
      <sheetName val="Southland"/>
      <sheetName val="Regional Summary"/>
    </sheetNames>
    <sheetDataSet>
      <sheetData sheetId="0"/>
      <sheetData sheetId="1">
        <row r="8">
          <cell r="I8">
            <v>1671647290</v>
          </cell>
          <cell r="J8">
            <v>1732273620</v>
          </cell>
          <cell r="K8">
            <v>1754501466</v>
          </cell>
          <cell r="L8">
            <v>1780826720</v>
          </cell>
          <cell r="M8">
            <v>1836985063</v>
          </cell>
        </row>
      </sheetData>
      <sheetData sheetId="2">
        <row r="8">
          <cell r="I8">
            <v>12716727027</v>
          </cell>
          <cell r="J8">
            <v>12690381682</v>
          </cell>
          <cell r="K8">
            <v>12651418256</v>
          </cell>
          <cell r="L8">
            <v>12626203601</v>
          </cell>
          <cell r="M8">
            <v>13321985129</v>
          </cell>
        </row>
      </sheetData>
      <sheetData sheetId="3">
        <row r="8">
          <cell r="I8">
            <v>5330097913</v>
          </cell>
          <cell r="J8">
            <v>5214845498</v>
          </cell>
          <cell r="K8">
            <v>5341811060</v>
          </cell>
          <cell r="L8">
            <v>5470126769</v>
          </cell>
          <cell r="M8">
            <v>5844751037</v>
          </cell>
        </row>
      </sheetData>
      <sheetData sheetId="4">
        <row r="8">
          <cell r="I8">
            <v>2713309750</v>
          </cell>
          <cell r="J8">
            <v>2775961366</v>
          </cell>
          <cell r="K8">
            <v>2737305606</v>
          </cell>
          <cell r="L8">
            <v>2758485376</v>
          </cell>
          <cell r="M8">
            <v>3168373180</v>
          </cell>
        </row>
      </sheetData>
      <sheetData sheetId="5">
        <row r="8">
          <cell r="I8">
            <v>389394415</v>
          </cell>
          <cell r="J8">
            <v>390232432</v>
          </cell>
          <cell r="K8">
            <v>400717300</v>
          </cell>
          <cell r="L8">
            <v>399923920</v>
          </cell>
          <cell r="M8">
            <v>400110220</v>
          </cell>
        </row>
      </sheetData>
      <sheetData sheetId="6">
        <row r="8">
          <cell r="I8">
            <v>1473708149</v>
          </cell>
          <cell r="J8">
            <v>1450292863</v>
          </cell>
          <cell r="K8">
            <v>1488177907</v>
          </cell>
          <cell r="L8">
            <v>1516034191</v>
          </cell>
          <cell r="M8">
            <v>1594537153</v>
          </cell>
        </row>
      </sheetData>
      <sheetData sheetId="7">
        <row r="8">
          <cell r="I8">
            <v>1036331293</v>
          </cell>
          <cell r="J8">
            <v>1051209196</v>
          </cell>
          <cell r="K8">
            <v>1073475032</v>
          </cell>
          <cell r="L8">
            <v>1082715829</v>
          </cell>
          <cell r="M8">
            <v>1121322799</v>
          </cell>
        </row>
      </sheetData>
      <sheetData sheetId="8">
        <row r="8">
          <cell r="I8">
            <v>2404273936</v>
          </cell>
          <cell r="J8">
            <v>2403302425</v>
          </cell>
          <cell r="K8">
            <v>2407590934</v>
          </cell>
          <cell r="L8">
            <v>2461335251</v>
          </cell>
          <cell r="M8">
            <v>2555506218</v>
          </cell>
        </row>
      </sheetData>
      <sheetData sheetId="9">
        <row r="8">
          <cell r="I8">
            <v>3506928468</v>
          </cell>
          <cell r="J8">
            <v>3522370423</v>
          </cell>
          <cell r="K8">
            <v>3708289323</v>
          </cell>
          <cell r="L8">
            <v>3526817767</v>
          </cell>
          <cell r="M8">
            <v>3560667716</v>
          </cell>
        </row>
      </sheetData>
      <sheetData sheetId="10">
        <row r="8">
          <cell r="I8">
            <v>1315502670</v>
          </cell>
          <cell r="J8">
            <v>1318822028</v>
          </cell>
          <cell r="K8">
            <v>1235117266</v>
          </cell>
          <cell r="L8">
            <v>1394458697</v>
          </cell>
          <cell r="M8">
            <v>1468697132</v>
          </cell>
        </row>
      </sheetData>
      <sheetData sheetId="11">
        <row r="8">
          <cell r="I8">
            <v>506199251</v>
          </cell>
          <cell r="J8">
            <v>499078882</v>
          </cell>
          <cell r="K8">
            <v>525576055</v>
          </cell>
          <cell r="L8">
            <v>535009307</v>
          </cell>
          <cell r="M8">
            <v>558740498</v>
          </cell>
        </row>
      </sheetData>
      <sheetData sheetId="12">
        <row r="8">
          <cell r="I8">
            <v>5470683357</v>
          </cell>
          <cell r="J8">
            <v>5679327968</v>
          </cell>
          <cell r="K8">
            <v>5839352447</v>
          </cell>
          <cell r="L8">
            <v>6009728723</v>
          </cell>
          <cell r="M8">
            <v>6135470753</v>
          </cell>
        </row>
      </sheetData>
      <sheetData sheetId="13">
        <row r="8">
          <cell r="I8">
            <v>2195422671</v>
          </cell>
          <cell r="J8">
            <v>2238550028</v>
          </cell>
          <cell r="K8">
            <v>2275743583</v>
          </cell>
          <cell r="L8">
            <v>2304976445</v>
          </cell>
          <cell r="M8">
            <v>2434785313</v>
          </cell>
        </row>
      </sheetData>
      <sheetData sheetId="14">
        <row r="8">
          <cell r="I8">
            <v>1133115471</v>
          </cell>
          <cell r="J8">
            <v>1146437773</v>
          </cell>
          <cell r="K8">
            <v>1091082811</v>
          </cell>
          <cell r="L8">
            <v>1191649550</v>
          </cell>
          <cell r="M8">
            <v>1234919736</v>
          </cell>
        </row>
      </sheetData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Total Trip Tables"/>
      <sheetName val="Total Distance Tables"/>
      <sheetName val="Total Duration Tables"/>
      <sheetName val="Total Trip Tables Sup #2"/>
      <sheetName val="Total Trip Tables Sup #1"/>
      <sheetName val="Total Trip Tables Original"/>
      <sheetName val="Total Distance Tables Sup #2"/>
      <sheetName val="Total Distance Tables Sup #1"/>
      <sheetName val="Total Distance Tables Original"/>
      <sheetName val="Total Duration Tables Sup #2"/>
      <sheetName val="Total Duration Tables Sup #1"/>
      <sheetName val="Total Duration Tables Original"/>
      <sheetName val="Original Population"/>
      <sheetName val="Updated Population"/>
      <sheetName val="Formatted Trip Summary"/>
      <sheetName val="Unformatted Trip Summary"/>
      <sheetName val="Active Mode Assumptions"/>
      <sheetName val="PT Assumptions"/>
      <sheetName val="Other Assumptions"/>
    </sheetNames>
    <sheetDataSet>
      <sheetData sheetId="0"/>
      <sheetData sheetId="1">
        <row r="12">
          <cell r="B12">
            <v>3.6339219343</v>
          </cell>
        </row>
        <row r="23">
          <cell r="B23">
            <v>53.530078000000003</v>
          </cell>
        </row>
        <row r="34">
          <cell r="B34">
            <v>5.7199103379</v>
          </cell>
        </row>
        <row r="45">
          <cell r="B45">
            <v>7.4672006229000001</v>
          </cell>
        </row>
        <row r="56">
          <cell r="B56">
            <v>0.39415976190000002</v>
          </cell>
        </row>
        <row r="67">
          <cell r="B67">
            <v>4.5218645043999999</v>
          </cell>
        </row>
        <row r="78">
          <cell r="B78">
            <v>1.2787514622</v>
          </cell>
        </row>
        <row r="89">
          <cell r="B89">
            <v>5.2110099151</v>
          </cell>
        </row>
        <row r="100">
          <cell r="B100">
            <v>23.4</v>
          </cell>
        </row>
        <row r="111">
          <cell r="B111">
            <v>2.0764681202999999</v>
          </cell>
        </row>
        <row r="122">
          <cell r="B122">
            <v>0.50805546800000001</v>
          </cell>
        </row>
        <row r="133">
          <cell r="B133">
            <v>20.502079716000001</v>
          </cell>
        </row>
        <row r="144">
          <cell r="B144">
            <v>4.2627057848999996</v>
          </cell>
        </row>
        <row r="155">
          <cell r="B155">
            <v>2.6369167839999998</v>
          </cell>
        </row>
        <row r="166">
          <cell r="B166">
            <v>135.14312241190001</v>
          </cell>
        </row>
      </sheetData>
      <sheetData sheetId="2">
        <row r="7">
          <cell r="B7">
            <v>1011.4273062</v>
          </cell>
          <cell r="C7">
            <v>1114.4236289552919</v>
          </cell>
          <cell r="D7">
            <v>1173.637629036305</v>
          </cell>
          <cell r="E7">
            <v>1103.446785957608</v>
          </cell>
          <cell r="F7">
            <v>1016.1768947186825</v>
          </cell>
          <cell r="G7">
            <v>909.80653680805858</v>
          </cell>
          <cell r="H7">
            <v>793.07504059983978</v>
          </cell>
          <cell r="I7">
            <v>670.44257573772632</v>
          </cell>
          <cell r="J7">
            <v>542.59025353497088</v>
          </cell>
          <cell r="K7">
            <v>410.95942608326811</v>
          </cell>
        </row>
        <row r="8">
          <cell r="B8">
            <v>666.23785996000004</v>
          </cell>
          <cell r="C8">
            <v>706.99571814390356</v>
          </cell>
          <cell r="D8">
            <v>729.32342906434963</v>
          </cell>
          <cell r="E8">
            <v>672.13101551115028</v>
          </cell>
          <cell r="F8">
            <v>605.88219787750961</v>
          </cell>
          <cell r="G8">
            <v>533.40924092384057</v>
          </cell>
          <cell r="H8">
            <v>457.15366986764968</v>
          </cell>
          <cell r="I8">
            <v>386.65434969687806</v>
          </cell>
          <cell r="J8">
            <v>313.07420434527091</v>
          </cell>
          <cell r="K8">
            <v>237.24042082093601</v>
          </cell>
        </row>
        <row r="9">
          <cell r="B9">
            <v>0.75976041549999995</v>
          </cell>
          <cell r="C9">
            <v>0.87234578553496545</v>
          </cell>
          <cell r="D9">
            <v>0.96408812070281047</v>
          </cell>
          <cell r="E9">
            <v>198.3323903281572</v>
          </cell>
          <cell r="F9">
            <v>406.62839137038821</v>
          </cell>
          <cell r="G9">
            <v>619.68250118995832</v>
          </cell>
          <cell r="H9">
            <v>834.68871089915433</v>
          </cell>
          <cell r="I9">
            <v>1058.3129497112775</v>
          </cell>
          <cell r="J9">
            <v>1284.7225587737782</v>
          </cell>
          <cell r="K9">
            <v>1513.6999643116903</v>
          </cell>
        </row>
        <row r="10">
          <cell r="B10">
            <v>9.2423909657000003</v>
          </cell>
          <cell r="C10">
            <v>10.195102034266119</v>
          </cell>
          <cell r="D10">
            <v>10.710686716169121</v>
          </cell>
          <cell r="E10">
            <v>10.988708683702917</v>
          </cell>
          <cell r="F10">
            <v>11.127551202043438</v>
          </cell>
          <cell r="G10">
            <v>11.051081679298122</v>
          </cell>
          <cell r="H10">
            <v>10.901766283085157</v>
          </cell>
          <cell r="I10">
            <v>11.123116406099317</v>
          </cell>
          <cell r="J10">
            <v>11.317848978190924</v>
          </cell>
          <cell r="K10">
            <v>11.496387361808544</v>
          </cell>
        </row>
        <row r="12">
          <cell r="B12">
            <v>44.734594063999999</v>
          </cell>
          <cell r="C12">
            <v>44.210536509503747</v>
          </cell>
          <cell r="D12">
            <v>43.739248920842712</v>
          </cell>
          <cell r="E12">
            <v>43.431846711174501</v>
          </cell>
          <cell r="F12">
            <v>42.285976873369115</v>
          </cell>
          <cell r="G12">
            <v>41.53290022531516</v>
          </cell>
          <cell r="H12">
            <v>40.584136226170948</v>
          </cell>
          <cell r="I12">
            <v>41.204591726580155</v>
          </cell>
          <cell r="J12">
            <v>41.716510625213509</v>
          </cell>
          <cell r="K12">
            <v>42.159594898909269</v>
          </cell>
        </row>
        <row r="18">
          <cell r="B18">
            <v>9374.4733825999992</v>
          </cell>
          <cell r="C18">
            <v>10545.664852441845</v>
          </cell>
          <cell r="D18">
            <v>11199.758543902939</v>
          </cell>
          <cell r="E18">
            <v>10585.986421263782</v>
          </cell>
          <cell r="F18">
            <v>9875.2327830345657</v>
          </cell>
          <cell r="G18">
            <v>8956.6618764373252</v>
          </cell>
          <cell r="H18">
            <v>7917.0012326176138</v>
          </cell>
          <cell r="I18">
            <v>6791.7715395910454</v>
          </cell>
          <cell r="J18">
            <v>5575.4703515208266</v>
          </cell>
          <cell r="K18">
            <v>4280.625660411647</v>
          </cell>
        </row>
        <row r="19">
          <cell r="B19">
            <v>4814.6436660999998</v>
          </cell>
          <cell r="C19">
            <v>5196.8328487547815</v>
          </cell>
          <cell r="D19">
            <v>5331.245432064351</v>
          </cell>
          <cell r="E19">
            <v>4871.5715397046379</v>
          </cell>
          <cell r="F19">
            <v>4414.911023337294</v>
          </cell>
          <cell r="G19">
            <v>3906.9490611651863</v>
          </cell>
          <cell r="H19">
            <v>3367.4694956583298</v>
          </cell>
          <cell r="I19">
            <v>2874.656252131344</v>
          </cell>
          <cell r="J19">
            <v>2347.342849540672</v>
          </cell>
          <cell r="K19">
            <v>1791.3782525314473</v>
          </cell>
        </row>
        <row r="20">
          <cell r="B20">
            <v>41.157157814999998</v>
          </cell>
          <cell r="C20">
            <v>48.423127295137689</v>
          </cell>
          <cell r="D20">
            <v>54.652826859218308</v>
          </cell>
          <cell r="E20">
            <v>1777.7898430699888</v>
          </cell>
          <cell r="F20">
            <v>3637.876403029667</v>
          </cell>
          <cell r="G20">
            <v>5582.3561495247886</v>
          </cell>
          <cell r="H20">
            <v>7596.2060918576226</v>
          </cell>
          <cell r="I20">
            <v>9741.8503366384757</v>
          </cell>
          <cell r="J20">
            <v>11961.675461894483</v>
          </cell>
          <cell r="K20">
            <v>14247.399509209024</v>
          </cell>
        </row>
        <row r="21">
          <cell r="B21">
            <v>43.570185572</v>
          </cell>
          <cell r="C21">
            <v>49.248397504015529</v>
          </cell>
          <cell r="D21">
            <v>52.838389925703254</v>
          </cell>
          <cell r="E21">
            <v>55.114060181872198</v>
          </cell>
          <cell r="F21">
            <v>56.817453327540775</v>
          </cell>
          <cell r="G21">
            <v>57.447851724737596</v>
          </cell>
          <cell r="H21">
            <v>57.751765252598638</v>
          </cell>
          <cell r="I21">
            <v>60.037386629467356</v>
          </cell>
          <cell r="J21">
            <v>62.231218755642864</v>
          </cell>
          <cell r="K21">
            <v>64.383109381230923</v>
          </cell>
        </row>
        <row r="23">
          <cell r="B23">
            <v>438.79018300000001</v>
          </cell>
          <cell r="C23">
            <v>466.70233909568009</v>
          </cell>
          <cell r="D23">
            <v>612.34079847648843</v>
          </cell>
          <cell r="E23">
            <v>733.22808150172034</v>
          </cell>
          <cell r="F23">
            <v>784.25600785752545</v>
          </cell>
          <cell r="G23">
            <v>826.72232102138798</v>
          </cell>
          <cell r="H23">
            <v>862.28223910927261</v>
          </cell>
          <cell r="I23">
            <v>932.83215667246668</v>
          </cell>
          <cell r="J23">
            <v>1006.293736752051</v>
          </cell>
          <cell r="K23">
            <v>1085.776588110223</v>
          </cell>
        </row>
        <row r="29">
          <cell r="B29">
            <v>3709.9843593000001</v>
          </cell>
          <cell r="C29">
            <v>4134.7838188859669</v>
          </cell>
          <cell r="D29">
            <v>4365.5787913147242</v>
          </cell>
          <cell r="E29">
            <v>4111.7324283044254</v>
          </cell>
          <cell r="F29">
            <v>3796.3788060878414</v>
          </cell>
          <cell r="G29">
            <v>3407.1711906850528</v>
          </cell>
          <cell r="H29">
            <v>2979.2573537795497</v>
          </cell>
          <cell r="I29">
            <v>2525.8543732214061</v>
          </cell>
          <cell r="J29">
            <v>2049.1119856797504</v>
          </cell>
          <cell r="K29">
            <v>1554.9949582236036</v>
          </cell>
        </row>
        <row r="30">
          <cell r="B30">
            <v>1955.0668243</v>
          </cell>
          <cell r="C30">
            <v>2098.5251246685793</v>
          </cell>
          <cell r="D30">
            <v>2169.6653013674068</v>
          </cell>
          <cell r="E30">
            <v>2002.4411190591566</v>
          </cell>
          <cell r="F30">
            <v>1809.1680667914611</v>
          </cell>
          <cell r="G30">
            <v>1596.0185688208985</v>
          </cell>
          <cell r="H30">
            <v>1371.5596749525751</v>
          </cell>
          <cell r="I30">
            <v>1163.4029866288183</v>
          </cell>
          <cell r="J30">
            <v>944.28551262718702</v>
          </cell>
          <cell r="K30">
            <v>716.94003810113679</v>
          </cell>
        </row>
        <row r="31">
          <cell r="B31">
            <v>2.4426175743999998</v>
          </cell>
          <cell r="C31">
            <v>2.8368251868126371</v>
          </cell>
          <cell r="D31">
            <v>3.143816927924282</v>
          </cell>
          <cell r="E31">
            <v>682.77014126176925</v>
          </cell>
          <cell r="F31">
            <v>1405.0354774772509</v>
          </cell>
          <cell r="G31">
            <v>2148.0397011416862</v>
          </cell>
          <cell r="H31">
            <v>2904.509622121288</v>
          </cell>
          <cell r="I31">
            <v>3693.277116868242</v>
          </cell>
          <cell r="J31">
            <v>4494.1583319491392</v>
          </cell>
          <cell r="K31">
            <v>5305.2774054699139</v>
          </cell>
        </row>
        <row r="32">
          <cell r="B32">
            <v>38.030338682999997</v>
          </cell>
          <cell r="C32">
            <v>42.432881628855164</v>
          </cell>
          <cell r="D32">
            <v>44.70178601711234</v>
          </cell>
          <cell r="E32">
            <v>45.95227467096116</v>
          </cell>
          <cell r="F32">
            <v>46.663308220010805</v>
          </cell>
          <cell r="G32">
            <v>46.464742359480589</v>
          </cell>
          <cell r="H32">
            <v>45.990611430233997</v>
          </cell>
          <cell r="I32">
            <v>47.059908818824951</v>
          </cell>
          <cell r="J32">
            <v>47.999286316297827</v>
          </cell>
          <cell r="K32">
            <v>48.850376567683178</v>
          </cell>
        </row>
        <row r="34">
          <cell r="B34">
            <v>54.303948532</v>
          </cell>
          <cell r="C34">
            <v>54.284867913554585</v>
          </cell>
          <cell r="D34">
            <v>53.85436766129304</v>
          </cell>
          <cell r="E34">
            <v>53.580985945781713</v>
          </cell>
          <cell r="F34">
            <v>52.31356812034452</v>
          </cell>
          <cell r="G34">
            <v>51.51729532309465</v>
          </cell>
          <cell r="H34">
            <v>50.509221444386178</v>
          </cell>
          <cell r="I34">
            <v>51.429495656695977</v>
          </cell>
          <cell r="J34">
            <v>52.194039661279326</v>
          </cell>
          <cell r="K34">
            <v>52.850001925564719</v>
          </cell>
        </row>
        <row r="40">
          <cell r="B40">
            <v>1972.0747595</v>
          </cell>
          <cell r="C40">
            <v>2165.016770853179</v>
          </cell>
          <cell r="D40">
            <v>2265.4973574171531</v>
          </cell>
          <cell r="E40">
            <v>2118.1602638537111</v>
          </cell>
          <cell r="F40">
            <v>1941.6191912467639</v>
          </cell>
          <cell r="G40">
            <v>1729.6125684536873</v>
          </cell>
          <cell r="H40">
            <v>1501.3902294957695</v>
          </cell>
          <cell r="I40">
            <v>1263.503793456289</v>
          </cell>
          <cell r="J40">
            <v>1017.4023795298081</v>
          </cell>
          <cell r="K40">
            <v>766.28466974333514</v>
          </cell>
        </row>
        <row r="41">
          <cell r="B41">
            <v>1385.2330090999999</v>
          </cell>
          <cell r="C41">
            <v>1464.6456289752832</v>
          </cell>
          <cell r="D41">
            <v>1501.1589621483217</v>
          </cell>
          <cell r="E41">
            <v>1375.6493411218171</v>
          </cell>
          <cell r="F41">
            <v>1234.2228343148506</v>
          </cell>
          <cell r="G41">
            <v>1081.0082094697289</v>
          </cell>
          <cell r="H41">
            <v>922.48969834580112</v>
          </cell>
          <cell r="I41">
            <v>776.70914698153626</v>
          </cell>
          <cell r="J41">
            <v>625.73312118083447</v>
          </cell>
          <cell r="K41">
            <v>471.52151492463764</v>
          </cell>
        </row>
        <row r="42">
          <cell r="B42">
            <v>0.98369936449999995</v>
          </cell>
          <cell r="C42">
            <v>1.1253734071136658</v>
          </cell>
          <cell r="D42">
            <v>1.2359941902045979</v>
          </cell>
          <cell r="E42">
            <v>389.53478993193681</v>
          </cell>
          <cell r="F42">
            <v>795.37415254641871</v>
          </cell>
          <cell r="G42">
            <v>1206.0189547279456</v>
          </cell>
          <cell r="H42">
            <v>1617.4334283891324</v>
          </cell>
          <cell r="I42">
            <v>2041.7360181480715</v>
          </cell>
          <cell r="J42">
            <v>2466.2309231498502</v>
          </cell>
          <cell r="K42">
            <v>2889.7432234679832</v>
          </cell>
        </row>
        <row r="43">
          <cell r="B43">
            <v>35.608960758999999</v>
          </cell>
          <cell r="C43">
            <v>39.137113588161128</v>
          </cell>
          <cell r="D43">
            <v>40.860742035464092</v>
          </cell>
          <cell r="E43">
            <v>41.694912596440986</v>
          </cell>
          <cell r="F43">
            <v>42.033274545002904</v>
          </cell>
          <cell r="G43">
            <v>41.541228741084026</v>
          </cell>
          <cell r="H43">
            <v>40.816037674361112</v>
          </cell>
          <cell r="I43">
            <v>41.456776891303583</v>
          </cell>
          <cell r="J43">
            <v>41.969922092735658</v>
          </cell>
          <cell r="K43">
            <v>42.394108949951388</v>
          </cell>
        </row>
        <row r="45">
          <cell r="B45">
            <v>52.669440211999998</v>
          </cell>
          <cell r="C45">
            <v>51.863669360445719</v>
          </cell>
          <cell r="D45">
            <v>50.991817570640528</v>
          </cell>
          <cell r="E45">
            <v>50.359909619139813</v>
          </cell>
          <cell r="F45">
            <v>48.812407656394882</v>
          </cell>
          <cell r="G45">
            <v>47.709739669433688</v>
          </cell>
          <cell r="H45">
            <v>46.43340377726021</v>
          </cell>
          <cell r="I45">
            <v>46.93047025035969</v>
          </cell>
          <cell r="J45">
            <v>47.274014251731444</v>
          </cell>
          <cell r="K45">
            <v>47.509536199977966</v>
          </cell>
        </row>
        <row r="51">
          <cell r="B51">
            <v>241.40144318</v>
          </cell>
          <cell r="C51">
            <v>253.3909636869648</v>
          </cell>
          <cell r="D51">
            <v>258.35214798907072</v>
          </cell>
          <cell r="E51">
            <v>236.68306360524554</v>
          </cell>
          <cell r="F51">
            <v>212.77377313616776</v>
          </cell>
          <cell r="G51">
            <v>185.74876671576246</v>
          </cell>
          <cell r="H51">
            <v>158.12396204269467</v>
          </cell>
          <cell r="I51">
            <v>130.61087852208377</v>
          </cell>
          <cell r="J51">
            <v>103.24045986083978</v>
          </cell>
          <cell r="K51">
            <v>76.341314162240266</v>
          </cell>
        </row>
        <row r="52">
          <cell r="B52">
            <v>174.74236519999999</v>
          </cell>
          <cell r="C52">
            <v>176.65311847740119</v>
          </cell>
          <cell r="D52">
            <v>176.36056968037889</v>
          </cell>
          <cell r="E52">
            <v>158.30665224249944</v>
          </cell>
          <cell r="F52">
            <v>139.24164738672494</v>
          </cell>
          <cell r="G52">
            <v>119.4660538185408</v>
          </cell>
          <cell r="H52">
            <v>99.93028857575645</v>
          </cell>
          <cell r="I52">
            <v>82.583875884409835</v>
          </cell>
          <cell r="J52">
            <v>65.310481053084274</v>
          </cell>
          <cell r="K52">
            <v>48.318124665522262</v>
          </cell>
        </row>
        <row r="53">
          <cell r="B53">
            <v>0.1174510768</v>
          </cell>
          <cell r="C53">
            <v>0.12847085995886276</v>
          </cell>
          <cell r="D53">
            <v>0.13757657370376708</v>
          </cell>
          <cell r="E53">
            <v>44.033305411135366</v>
          </cell>
          <cell r="F53">
            <v>88.155261637012757</v>
          </cell>
          <cell r="G53">
            <v>130.96045694234172</v>
          </cell>
          <cell r="H53">
            <v>172.1921757373708</v>
          </cell>
          <cell r="I53">
            <v>213.34885037737527</v>
          </cell>
          <cell r="J53">
            <v>252.97813431572817</v>
          </cell>
          <cell r="K53">
            <v>291.02109025392423</v>
          </cell>
        </row>
        <row r="54">
          <cell r="B54">
            <v>0.95186353219999997</v>
          </cell>
          <cell r="C54">
            <v>1.0002707122978947</v>
          </cell>
          <cell r="D54">
            <v>1.0182515657889506</v>
          </cell>
          <cell r="E54">
            <v>1.0187742880243813</v>
          </cell>
          <cell r="F54">
            <v>1.0079008779491758</v>
          </cell>
          <cell r="G54">
            <v>0.97685582969866991</v>
          </cell>
          <cell r="H54">
            <v>0.94194303950428282</v>
          </cell>
          <cell r="I54">
            <v>0.93904311493141446</v>
          </cell>
          <cell r="J54">
            <v>0.93321145578272513</v>
          </cell>
          <cell r="K54">
            <v>0.92545916639180903</v>
          </cell>
        </row>
        <row r="56">
          <cell r="B56">
            <v>4.8778387282000004</v>
          </cell>
          <cell r="C56">
            <v>4.5924596124923855</v>
          </cell>
          <cell r="D56">
            <v>4.4025335610377505</v>
          </cell>
          <cell r="E56">
            <v>4.2631753432682205</v>
          </cell>
          <cell r="F56">
            <v>4.0551616795244705</v>
          </cell>
          <cell r="G56">
            <v>3.886973024946673</v>
          </cell>
          <cell r="H56">
            <v>3.7125957676692409</v>
          </cell>
          <cell r="I56">
            <v>3.6829705824919623</v>
          </cell>
          <cell r="J56">
            <v>3.6418137031233249</v>
          </cell>
          <cell r="K56">
            <v>3.5932371906366432</v>
          </cell>
        </row>
        <row r="62">
          <cell r="B62">
            <v>1001.7566771</v>
          </cell>
          <cell r="C62">
            <v>1091.4357227696062</v>
          </cell>
          <cell r="D62">
            <v>1141.1244858052846</v>
          </cell>
          <cell r="E62">
            <v>1066.8442911011505</v>
          </cell>
          <cell r="F62">
            <v>978.04376438387214</v>
          </cell>
          <cell r="G62">
            <v>872.14271536397268</v>
          </cell>
          <cell r="H62">
            <v>758.6589828129421</v>
          </cell>
          <cell r="I62">
            <v>640.47782449619638</v>
          </cell>
          <cell r="J62">
            <v>517.74862952750323</v>
          </cell>
          <cell r="K62">
            <v>391.7805924014034</v>
          </cell>
        </row>
        <row r="63">
          <cell r="B63">
            <v>607.82570181000006</v>
          </cell>
          <cell r="C63">
            <v>637.80337962591511</v>
          </cell>
          <cell r="D63">
            <v>652.94330591079756</v>
          </cell>
          <cell r="E63">
            <v>598.11907001076099</v>
          </cell>
          <cell r="F63">
            <v>536.50478983468349</v>
          </cell>
          <cell r="G63">
            <v>470.20328207566166</v>
          </cell>
          <cell r="H63">
            <v>401.92825495386836</v>
          </cell>
          <cell r="I63">
            <v>339.48610309706049</v>
          </cell>
          <cell r="J63">
            <v>274.57021047542548</v>
          </cell>
          <cell r="K63">
            <v>207.87122626273973</v>
          </cell>
        </row>
        <row r="64">
          <cell r="B64">
            <v>1.7589425135000001</v>
          </cell>
          <cell r="C64">
            <v>1.997026976774259</v>
          </cell>
          <cell r="D64">
            <v>2.1921375100873339</v>
          </cell>
          <cell r="E64">
            <v>187.36192818321103</v>
          </cell>
          <cell r="F64">
            <v>381.14593867463276</v>
          </cell>
          <cell r="G64">
            <v>577.89843752660852</v>
          </cell>
          <cell r="H64">
            <v>776.42090113509414</v>
          </cell>
          <cell r="I64">
            <v>982.68570092118603</v>
          </cell>
          <cell r="J64">
            <v>1191.2189355404737</v>
          </cell>
          <cell r="K64">
            <v>1401.9430841072719</v>
          </cell>
        </row>
        <row r="65">
          <cell r="B65">
            <v>3.0321841239</v>
          </cell>
          <cell r="C65">
            <v>3.3073723493017808</v>
          </cell>
          <cell r="D65">
            <v>3.4511563006434756</v>
          </cell>
          <cell r="E65">
            <v>3.5224036643922352</v>
          </cell>
          <cell r="F65">
            <v>3.5524304582604969</v>
          </cell>
          <cell r="G65">
            <v>3.5155192286951116</v>
          </cell>
          <cell r="H65">
            <v>3.4625360247278612</v>
          </cell>
          <cell r="I65">
            <v>3.5280313951124795</v>
          </cell>
          <cell r="J65">
            <v>3.5856893315822846</v>
          </cell>
          <cell r="K65">
            <v>3.6388614145478111</v>
          </cell>
        </row>
        <row r="67">
          <cell r="B67">
            <v>39.591997026999998</v>
          </cell>
          <cell r="C67">
            <v>38.691001695471009</v>
          </cell>
          <cell r="D67">
            <v>38.019929482520482</v>
          </cell>
          <cell r="E67">
            <v>37.557219613036864</v>
          </cell>
          <cell r="F67">
            <v>36.417910592924471</v>
          </cell>
          <cell r="G67">
            <v>35.642620078932922</v>
          </cell>
          <cell r="H67">
            <v>34.773340580260204</v>
          </cell>
          <cell r="I67">
            <v>35.256910076403663</v>
          </cell>
          <cell r="J67">
            <v>35.654094643805649</v>
          </cell>
          <cell r="K67">
            <v>35.99923154304301</v>
          </cell>
        </row>
        <row r="73">
          <cell r="B73">
            <v>933.36875414999997</v>
          </cell>
          <cell r="C73">
            <v>1026.1244662437778</v>
          </cell>
          <cell r="D73">
            <v>1082.1165563157529</v>
          </cell>
          <cell r="E73">
            <v>1019.2286144287709</v>
          </cell>
          <cell r="F73">
            <v>942.37549904727848</v>
          </cell>
          <cell r="G73">
            <v>847.85887203565972</v>
          </cell>
          <cell r="H73">
            <v>744.06990057962116</v>
          </cell>
          <cell r="I73">
            <v>633.46273502407405</v>
          </cell>
          <cell r="J73">
            <v>516.30187172192234</v>
          </cell>
          <cell r="K73">
            <v>393.83311142272271</v>
          </cell>
        </row>
        <row r="74">
          <cell r="B74">
            <v>656.25872372000003</v>
          </cell>
          <cell r="C74">
            <v>694.8542398650477</v>
          </cell>
          <cell r="D74">
            <v>717.69784779714576</v>
          </cell>
          <cell r="E74">
            <v>662.53045966396667</v>
          </cell>
          <cell r="F74">
            <v>599.53860943691257</v>
          </cell>
          <cell r="G74">
            <v>530.32551805889454</v>
          </cell>
          <cell r="H74">
            <v>457.50117604783873</v>
          </cell>
          <cell r="I74">
            <v>389.68509876862339</v>
          </cell>
          <cell r="J74">
            <v>317.76881188732256</v>
          </cell>
          <cell r="K74">
            <v>242.51304020974874</v>
          </cell>
        </row>
        <row r="75">
          <cell r="B75">
            <v>1.1335038904000001</v>
          </cell>
          <cell r="C75">
            <v>1.298572396750449</v>
          </cell>
          <cell r="D75">
            <v>1.4374520954917469</v>
          </cell>
          <cell r="E75">
            <v>188.42483090678041</v>
          </cell>
          <cell r="F75">
            <v>387.1493691090219</v>
          </cell>
          <cell r="G75">
            <v>592.40204883308115</v>
          </cell>
          <cell r="H75">
            <v>802.8742525085637</v>
          </cell>
          <cell r="I75">
            <v>1025.0076826746938</v>
          </cell>
          <cell r="J75">
            <v>1252.9942423339937</v>
          </cell>
          <cell r="K75">
            <v>1486.7214193513876</v>
          </cell>
        </row>
        <row r="76">
          <cell r="B76">
            <v>7.0100687938000004</v>
          </cell>
          <cell r="C76">
            <v>7.7154394620111999</v>
          </cell>
          <cell r="D76">
            <v>8.1186824851803827</v>
          </cell>
          <cell r="E76">
            <v>8.3463905597860428</v>
          </cell>
          <cell r="F76">
            <v>8.4877043798875942</v>
          </cell>
          <cell r="G76">
            <v>8.4728291317844064</v>
          </cell>
          <cell r="H76">
            <v>8.4171430560805458</v>
          </cell>
          <cell r="I76">
            <v>8.6487528470368922</v>
          </cell>
          <cell r="J76">
            <v>8.8626227257983548</v>
          </cell>
          <cell r="K76">
            <v>9.066516776422846</v>
          </cell>
        </row>
        <row r="78">
          <cell r="B78">
            <v>14.084735078</v>
          </cell>
          <cell r="C78">
            <v>13.888716541562124</v>
          </cell>
          <cell r="D78">
            <v>13.762800014706048</v>
          </cell>
          <cell r="E78">
            <v>13.693913385432619</v>
          </cell>
          <cell r="F78">
            <v>13.389188302168179</v>
          </cell>
          <cell r="G78">
            <v>13.218529846154834</v>
          </cell>
          <cell r="H78">
            <v>13.007426665671497</v>
          </cell>
          <cell r="I78">
            <v>13.299639140856179</v>
          </cell>
          <cell r="J78">
            <v>13.560433713349683</v>
          </cell>
          <cell r="K78">
            <v>13.802023034359021</v>
          </cell>
        </row>
        <row r="84">
          <cell r="B84">
            <v>1782.4745101999999</v>
          </cell>
          <cell r="C84">
            <v>1921.2110815415385</v>
          </cell>
          <cell r="D84">
            <v>1984.3410238603742</v>
          </cell>
          <cell r="E84">
            <v>1836.4088479357292</v>
          </cell>
          <cell r="F84">
            <v>1666.7762580167227</v>
          </cell>
          <cell r="G84">
            <v>1471.3910025389516</v>
          </cell>
          <cell r="H84">
            <v>1265.5634246466209</v>
          </cell>
          <cell r="I84">
            <v>1056.4311725558969</v>
          </cell>
          <cell r="J84">
            <v>844.36528501290604</v>
          </cell>
          <cell r="K84">
            <v>631.6988450657044</v>
          </cell>
        </row>
        <row r="85">
          <cell r="B85">
            <v>885.65568203999999</v>
          </cell>
          <cell r="C85">
            <v>919.36614227018731</v>
          </cell>
          <cell r="D85">
            <v>929.47564254195913</v>
          </cell>
          <cell r="E85">
            <v>842.538755797166</v>
          </cell>
          <cell r="F85">
            <v>747.95160296728818</v>
          </cell>
          <cell r="G85">
            <v>648.69077347662369</v>
          </cell>
          <cell r="H85">
            <v>548.04098938403376</v>
          </cell>
          <cell r="I85">
            <v>457.70754501317555</v>
          </cell>
          <cell r="J85">
            <v>366.01218693221551</v>
          </cell>
          <cell r="K85">
            <v>273.9643210252093</v>
          </cell>
        </row>
        <row r="86">
          <cell r="B86">
            <v>5.6344181790999999</v>
          </cell>
          <cell r="C86">
            <v>6.328447752011785</v>
          </cell>
          <cell r="D86">
            <v>6.862999375423505</v>
          </cell>
          <cell r="E86">
            <v>304.99367117689229</v>
          </cell>
          <cell r="F86">
            <v>611.38037054709582</v>
          </cell>
          <cell r="G86">
            <v>916.52744193070396</v>
          </cell>
          <cell r="H86">
            <v>1217.1689895327086</v>
          </cell>
          <cell r="I86">
            <v>1522.2235539513629</v>
          </cell>
          <cell r="J86">
            <v>1823.6153765756883</v>
          </cell>
          <cell r="K86">
            <v>2121.2151695955176</v>
          </cell>
        </row>
        <row r="87">
          <cell r="B87">
            <v>3.8744282972000001</v>
          </cell>
          <cell r="C87">
            <v>4.180719078379056</v>
          </cell>
          <cell r="D87">
            <v>4.3098824220160425</v>
          </cell>
          <cell r="E87">
            <v>4.3546230042330247</v>
          </cell>
          <cell r="F87">
            <v>4.3482541768536391</v>
          </cell>
          <cell r="G87">
            <v>4.2602195619743091</v>
          </cell>
          <cell r="H87">
            <v>4.1492403219017788</v>
          </cell>
          <cell r="I87">
            <v>4.1802894133308097</v>
          </cell>
          <cell r="J87">
            <v>4.2006905623689281</v>
          </cell>
          <cell r="K87">
            <v>4.2147238326331067</v>
          </cell>
        </row>
        <row r="89">
          <cell r="B89">
            <v>39.768452936000003</v>
          </cell>
          <cell r="C89">
            <v>38.446525567533541</v>
          </cell>
          <cell r="D89">
            <v>37.324270698580307</v>
          </cell>
          <cell r="E89">
            <v>36.499263551470108</v>
          </cell>
          <cell r="F89">
            <v>35.041572983410838</v>
          </cell>
          <cell r="G89">
            <v>33.954032166468998</v>
          </cell>
          <cell r="H89">
            <v>32.756684150479373</v>
          </cell>
          <cell r="I89">
            <v>32.839564333031817</v>
          </cell>
          <cell r="J89">
            <v>32.834973855708611</v>
          </cell>
          <cell r="K89">
            <v>32.777518197967972</v>
          </cell>
        </row>
        <row r="95">
          <cell r="B95">
            <v>3481.4296611999998</v>
          </cell>
          <cell r="C95">
            <v>3848.4100397187758</v>
          </cell>
          <cell r="D95">
            <v>4058.5119383973488</v>
          </cell>
          <cell r="E95">
            <v>3825.8185551121137</v>
          </cell>
          <cell r="F95">
            <v>3540.2692918304451</v>
          </cell>
          <cell r="G95">
            <v>3185.652694491605</v>
          </cell>
          <cell r="H95">
            <v>2793.147897573283</v>
          </cell>
          <cell r="I95">
            <v>2376.866934209474</v>
          </cell>
          <cell r="J95">
            <v>1935.7047003789041</v>
          </cell>
          <cell r="K95">
            <v>1474.896178923231</v>
          </cell>
        </row>
        <row r="96">
          <cell r="B96">
            <v>2005.8850408000001</v>
          </cell>
          <cell r="C96">
            <v>2135.3891713868552</v>
          </cell>
          <cell r="D96">
            <v>2198.3340751746678</v>
          </cell>
          <cell r="E96">
            <v>2025.488811066597</v>
          </cell>
          <cell r="F96">
            <v>1830.3788933437843</v>
          </cell>
          <cell r="G96">
            <v>1615.5046183886536</v>
          </cell>
          <cell r="H96">
            <v>1388.6742641969142</v>
          </cell>
          <cell r="I96">
            <v>1180.5582009417421</v>
          </cell>
          <cell r="J96">
            <v>960.34699219567301</v>
          </cell>
          <cell r="K96">
            <v>730.8010053248023</v>
          </cell>
        </row>
        <row r="97">
          <cell r="B97">
            <v>19.359252680000001</v>
          </cell>
          <cell r="C97">
            <v>22.301767343384562</v>
          </cell>
          <cell r="D97">
            <v>24.780364585440434</v>
          </cell>
          <cell r="E97">
            <v>677.18157234380419</v>
          </cell>
          <cell r="F97">
            <v>1371.6483586054492</v>
          </cell>
          <cell r="G97">
            <v>2088.0900152372019</v>
          </cell>
          <cell r="H97">
            <v>2819.6797009637421</v>
          </cell>
          <cell r="I97">
            <v>3589.8303055996826</v>
          </cell>
          <cell r="J97">
            <v>4377.0040347038885</v>
          </cell>
          <cell r="K97">
            <v>5180.0193812937523</v>
          </cell>
        </row>
        <row r="98">
          <cell r="B98">
            <v>24.444631151999999</v>
          </cell>
          <cell r="C98">
            <v>27.053871139161714</v>
          </cell>
          <cell r="D98">
            <v>28.575609573803526</v>
          </cell>
          <cell r="E98">
            <v>29.482405903463505</v>
          </cell>
          <cell r="F98">
            <v>30.063771851707489</v>
          </cell>
          <cell r="G98">
            <v>30.074200710625583</v>
          </cell>
          <cell r="H98">
            <v>29.912761391420201</v>
          </cell>
          <cell r="I98">
            <v>30.767044097649809</v>
          </cell>
          <cell r="J98">
            <v>31.553789677046499</v>
          </cell>
          <cell r="K98">
            <v>32.300214648269552</v>
          </cell>
        </row>
        <row r="100">
          <cell r="B100">
            <v>164.37</v>
          </cell>
          <cell r="C100">
            <v>174.39558784017379</v>
          </cell>
          <cell r="D100">
            <v>197.20907957759067</v>
          </cell>
          <cell r="E100">
            <v>213.21414160503357</v>
          </cell>
          <cell r="F100">
            <v>219.84479072405438</v>
          </cell>
          <cell r="G100">
            <v>226.62148035142309</v>
          </cell>
          <cell r="H100">
            <v>233.37796432273598</v>
          </cell>
          <cell r="I100">
            <v>242.98699116711211</v>
          </cell>
          <cell r="J100">
            <v>253.03235921202543</v>
          </cell>
          <cell r="K100">
            <v>263.5570054908315</v>
          </cell>
        </row>
        <row r="106">
          <cell r="B106">
            <v>1012.1329009999999</v>
          </cell>
          <cell r="C106">
            <v>1079.5008036817999</v>
          </cell>
          <cell r="D106">
            <v>1113.5109312275663</v>
          </cell>
          <cell r="E106">
            <v>1030.4601867943102</v>
          </cell>
          <cell r="F106">
            <v>935.16650270195623</v>
          </cell>
          <cell r="G106">
            <v>824.92368282191717</v>
          </cell>
          <cell r="H106">
            <v>707.994326015296</v>
          </cell>
          <cell r="I106">
            <v>589.44609085964544</v>
          </cell>
          <cell r="J106">
            <v>469.64297840829363</v>
          </cell>
          <cell r="K106">
            <v>350.06704638744037</v>
          </cell>
        </row>
        <row r="107">
          <cell r="B107">
            <v>528.66856442999995</v>
          </cell>
          <cell r="C107">
            <v>543.05116833825309</v>
          </cell>
          <cell r="D107">
            <v>548.31806588058407</v>
          </cell>
          <cell r="E107">
            <v>497.02677825146037</v>
          </cell>
          <cell r="F107">
            <v>441.19197237388653</v>
          </cell>
          <cell r="G107">
            <v>382.3718226099532</v>
          </cell>
          <cell r="H107">
            <v>322.36386218507374</v>
          </cell>
          <cell r="I107">
            <v>268.52107836921709</v>
          </cell>
          <cell r="J107">
            <v>214.05255519224704</v>
          </cell>
          <cell r="K107">
            <v>159.632950120749</v>
          </cell>
        </row>
        <row r="108">
          <cell r="B108">
            <v>2.5483198348</v>
          </cell>
          <cell r="C108">
            <v>2.8322770247283184</v>
          </cell>
          <cell r="D108">
            <v>3.0676368733445356</v>
          </cell>
          <cell r="E108">
            <v>172.99843855593696</v>
          </cell>
          <cell r="F108">
            <v>347.53042379194846</v>
          </cell>
          <cell r="G108">
            <v>520.95009110728654</v>
          </cell>
          <cell r="H108">
            <v>690.51514314479209</v>
          </cell>
          <cell r="I108">
            <v>861.56089933208034</v>
          </cell>
          <cell r="J108">
            <v>1029.1099429916303</v>
          </cell>
          <cell r="K108">
            <v>1192.832332222652</v>
          </cell>
        </row>
        <row r="109">
          <cell r="B109">
            <v>34.127286998000002</v>
          </cell>
          <cell r="C109">
            <v>36.440035855149262</v>
          </cell>
          <cell r="D109">
            <v>37.518432991341129</v>
          </cell>
          <cell r="E109">
            <v>37.908182393221999</v>
          </cell>
          <cell r="F109">
            <v>37.849791661509343</v>
          </cell>
          <cell r="G109">
            <v>37.056804822069346</v>
          </cell>
          <cell r="H109">
            <v>36.014327494096598</v>
          </cell>
          <cell r="I109">
            <v>36.188439109165799</v>
          </cell>
          <cell r="J109">
            <v>36.250878341743189</v>
          </cell>
          <cell r="K109">
            <v>36.238516718752308</v>
          </cell>
        </row>
        <row r="111">
          <cell r="B111">
            <v>19.807462209000001</v>
          </cell>
          <cell r="C111">
            <v>18.948765035031066</v>
          </cell>
          <cell r="D111">
            <v>18.372430032514472</v>
          </cell>
          <cell r="E111">
            <v>17.966459532342324</v>
          </cell>
          <cell r="F111">
            <v>17.247579930548739</v>
          </cell>
          <cell r="G111">
            <v>16.700264375469462</v>
          </cell>
          <cell r="H111">
            <v>16.076912781427286</v>
          </cell>
          <cell r="I111">
            <v>16.075218724306936</v>
          </cell>
          <cell r="J111">
            <v>16.022508855740892</v>
          </cell>
          <cell r="K111">
            <v>15.935781271453241</v>
          </cell>
        </row>
        <row r="117">
          <cell r="B117">
            <v>226.22434741999999</v>
          </cell>
          <cell r="C117">
            <v>226.62934605211308</v>
          </cell>
          <cell r="D117">
            <v>226.96005588680765</v>
          </cell>
          <cell r="E117">
            <v>204.25284799289031</v>
          </cell>
          <cell r="F117">
            <v>180.34106423530739</v>
          </cell>
          <cell r="G117">
            <v>154.8522867152243</v>
          </cell>
          <cell r="H117">
            <v>129.71018554888866</v>
          </cell>
          <cell r="I117">
            <v>105.37421442292499</v>
          </cell>
          <cell r="J117">
            <v>81.91879361397632</v>
          </cell>
          <cell r="K117">
            <v>59.57607403233159</v>
          </cell>
        </row>
        <row r="118">
          <cell r="B118">
            <v>160.37072223999999</v>
          </cell>
          <cell r="C118">
            <v>154.72971452141027</v>
          </cell>
          <cell r="D118">
            <v>151.7573282441839</v>
          </cell>
          <cell r="E118">
            <v>133.8447530895302</v>
          </cell>
          <cell r="F118">
            <v>115.65086821573007</v>
          </cell>
          <cell r="G118">
            <v>97.623569221018286</v>
          </cell>
          <cell r="H118">
            <v>80.375204551410221</v>
          </cell>
          <cell r="I118">
            <v>65.327673666147078</v>
          </cell>
          <cell r="J118">
            <v>50.811476518110531</v>
          </cell>
          <cell r="K118">
            <v>36.971410899851016</v>
          </cell>
        </row>
        <row r="119">
          <cell r="B119">
            <v>1.6916956777000001</v>
          </cell>
          <cell r="C119">
            <v>1.7660191498965896</v>
          </cell>
          <cell r="D119">
            <v>1.8567355654028863</v>
          </cell>
          <cell r="E119">
            <v>39.495351807451271</v>
          </cell>
          <cell r="F119">
            <v>75.967757069613342</v>
          </cell>
          <cell r="G119">
            <v>110.17503213036026</v>
          </cell>
          <cell r="H119">
            <v>142.01946773124817</v>
          </cell>
          <cell r="I119">
            <v>172.60840902943971</v>
          </cell>
          <cell r="J119">
            <v>200.94161826409604</v>
          </cell>
          <cell r="K119">
            <v>227.06144637536997</v>
          </cell>
        </row>
        <row r="120">
          <cell r="B120">
            <v>0.29466348679999999</v>
          </cell>
          <cell r="C120">
            <v>0.2955253419715268</v>
          </cell>
          <cell r="D120">
            <v>0.29535685291040026</v>
          </cell>
          <cell r="E120">
            <v>0.2901656819303991</v>
          </cell>
          <cell r="F120">
            <v>0.28182276709480097</v>
          </cell>
          <cell r="G120">
            <v>0.26853855414258615</v>
          </cell>
          <cell r="H120">
            <v>0.25467192752279144</v>
          </cell>
          <cell r="I120">
            <v>0.24970211870905387</v>
          </cell>
          <cell r="J120">
            <v>0.2440602301111465</v>
          </cell>
          <cell r="K120">
            <v>0.23804248579210049</v>
          </cell>
        </row>
        <row r="122">
          <cell r="B122">
            <v>6.0600083682000001</v>
          </cell>
          <cell r="C122">
            <v>5.4452355659328209</v>
          </cell>
          <cell r="D122">
            <v>5.1249400771646423</v>
          </cell>
          <cell r="E122">
            <v>4.8729888521454354</v>
          </cell>
          <cell r="F122">
            <v>4.5505152764440666</v>
          </cell>
          <cell r="G122">
            <v>4.2882673313873259</v>
          </cell>
          <cell r="H122">
            <v>4.0283597735154988</v>
          </cell>
          <cell r="I122">
            <v>3.9303307184781087</v>
          </cell>
          <cell r="J122">
            <v>3.8223357459036786</v>
          </cell>
          <cell r="K122">
            <v>3.7091743915263335</v>
          </cell>
        </row>
        <row r="128">
          <cell r="B128">
            <v>3777.041205</v>
          </cell>
          <cell r="C128">
            <v>4313.1003821997683</v>
          </cell>
          <cell r="D128">
            <v>4646.5778438610932</v>
          </cell>
          <cell r="E128">
            <v>4442.0665251145056</v>
          </cell>
          <cell r="F128">
            <v>4162.7720517127664</v>
          </cell>
          <cell r="G128">
            <v>3793.0961388519859</v>
          </cell>
          <cell r="H128">
            <v>3367.5584344329231</v>
          </cell>
          <cell r="I128">
            <v>2902.8064599985582</v>
          </cell>
          <cell r="J128">
            <v>2394.6708960268288</v>
          </cell>
          <cell r="K128">
            <v>1848.1951688915317</v>
          </cell>
        </row>
        <row r="129">
          <cell r="B129">
            <v>2033.7115475000001</v>
          </cell>
          <cell r="C129">
            <v>2236.6551820187465</v>
          </cell>
          <cell r="D129">
            <v>2357.0156195367736</v>
          </cell>
          <cell r="E129">
            <v>2205.5250798257489</v>
          </cell>
          <cell r="F129">
            <v>2020.0174749512134</v>
          </cell>
          <cell r="G129">
            <v>1806.790773963249</v>
          </cell>
          <cell r="H129">
            <v>1574.10465798157</v>
          </cell>
          <cell r="I129">
            <v>1357.5594090431459</v>
          </cell>
          <cell r="J129">
            <v>1120.4937860932457</v>
          </cell>
          <cell r="K129">
            <v>865.23625963038035</v>
          </cell>
        </row>
        <row r="130">
          <cell r="B130">
            <v>16.530142167000001</v>
          </cell>
          <cell r="C130">
            <v>19.670291653954127</v>
          </cell>
          <cell r="D130">
            <v>22.268062466783064</v>
          </cell>
          <cell r="E130">
            <v>763.21782006137391</v>
          </cell>
          <cell r="F130">
            <v>1572.3799067904372</v>
          </cell>
          <cell r="G130">
            <v>2428.3126706009466</v>
          </cell>
          <cell r="H130">
            <v>3324.4017772416337</v>
          </cell>
          <cell r="I130">
            <v>4291.2474750656338</v>
          </cell>
          <cell r="J130">
            <v>5304.4803333639893</v>
          </cell>
          <cell r="K130">
            <v>6363.8812549871245</v>
          </cell>
        </row>
        <row r="131">
          <cell r="B131">
            <v>12.048552727000001</v>
          </cell>
          <cell r="C131">
            <v>13.77413481042913</v>
          </cell>
          <cell r="D131">
            <v>14.82291561999223</v>
          </cell>
          <cell r="E131">
            <v>15.482916083547073</v>
          </cell>
          <cell r="F131">
            <v>15.974998295449305</v>
          </cell>
          <cell r="G131">
            <v>16.168777290861655</v>
          </cell>
          <cell r="H131">
            <v>16.268751823106737</v>
          </cell>
          <cell r="I131">
            <v>16.925236098938754</v>
          </cell>
          <cell r="J131">
            <v>17.554351205731514</v>
          </cell>
          <cell r="K131">
            <v>18.169903952111419</v>
          </cell>
        </row>
        <row r="133">
          <cell r="B133">
            <v>174.53993166999999</v>
          </cell>
          <cell r="C133">
            <v>178.40772453</v>
          </cell>
          <cell r="D133">
            <v>176.99843539</v>
          </cell>
          <cell r="E133">
            <v>177.62065634000001</v>
          </cell>
          <cell r="F133">
            <v>174.22242717</v>
          </cell>
          <cell r="G133">
            <v>170.48597458</v>
          </cell>
          <cell r="H133">
            <v>166.02331469000001</v>
          </cell>
          <cell r="I133">
            <v>166.02331469000001</v>
          </cell>
          <cell r="J133">
            <v>166.02331469000001</v>
          </cell>
          <cell r="K133">
            <v>166.02331469000001</v>
          </cell>
        </row>
        <row r="139">
          <cell r="B139">
            <v>1192.1699989000001</v>
          </cell>
          <cell r="C139">
            <v>1358.3326833662729</v>
          </cell>
          <cell r="D139">
            <v>1460.1868500585538</v>
          </cell>
          <cell r="E139">
            <v>1389.7121648072377</v>
          </cell>
          <cell r="F139">
            <v>1296.9337036832276</v>
          </cell>
          <cell r="G139">
            <v>1176.4773427722305</v>
          </cell>
          <cell r="H139">
            <v>1040.2015071890396</v>
          </cell>
          <cell r="I139">
            <v>892.38032775022509</v>
          </cell>
          <cell r="J139">
            <v>732.63636853409014</v>
          </cell>
          <cell r="K139">
            <v>562.71102628812639</v>
          </cell>
        </row>
        <row r="140">
          <cell r="B140">
            <v>849.31688999999994</v>
          </cell>
          <cell r="C140">
            <v>931.98636884297787</v>
          </cell>
          <cell r="D140">
            <v>980.99664487723646</v>
          </cell>
          <cell r="E140">
            <v>914.79527569287052</v>
          </cell>
          <cell r="F140">
            <v>835.28627508440195</v>
          </cell>
          <cell r="G140">
            <v>744.68165683058385</v>
          </cell>
          <cell r="H140">
            <v>646.97901625585803</v>
          </cell>
          <cell r="I140">
            <v>555.31470094816189</v>
          </cell>
          <cell r="J140">
            <v>456.13637425076604</v>
          </cell>
          <cell r="K140">
            <v>350.51705270269804</v>
          </cell>
        </row>
        <row r="141">
          <cell r="B141">
            <v>7.2892681777000004</v>
          </cell>
          <cell r="C141">
            <v>8.6546250598521528</v>
          </cell>
          <cell r="D141">
            <v>9.7713399532015686</v>
          </cell>
          <cell r="E141">
            <v>266.79616583110828</v>
          </cell>
          <cell r="F141">
            <v>544.65144067482413</v>
          </cell>
          <cell r="G141">
            <v>835.61790007974491</v>
          </cell>
          <cell r="H141">
            <v>1137.6814131691026</v>
          </cell>
          <cell r="I141">
            <v>1460.9230399400326</v>
          </cell>
          <cell r="J141">
            <v>1796.6867690198608</v>
          </cell>
          <cell r="K141">
            <v>2144.6705716602232</v>
          </cell>
        </row>
        <row r="142">
          <cell r="B142">
            <v>18.503357486999999</v>
          </cell>
          <cell r="C142">
            <v>21.106202710871262</v>
          </cell>
          <cell r="D142">
            <v>22.652369943185409</v>
          </cell>
          <cell r="E142">
            <v>23.544135706404219</v>
          </cell>
          <cell r="F142">
            <v>24.179489086226226</v>
          </cell>
          <cell r="G142">
            <v>24.34980759672748</v>
          </cell>
          <cell r="H142">
            <v>24.385177431188723</v>
          </cell>
          <cell r="I142">
            <v>25.248624875168417</v>
          </cell>
          <cell r="J142">
            <v>26.061549719772344</v>
          </cell>
          <cell r="K142">
            <v>26.845083521451219</v>
          </cell>
        </row>
        <row r="144">
          <cell r="B144">
            <v>27.157477096000001</v>
          </cell>
          <cell r="C144">
            <v>27.753900757492215</v>
          </cell>
          <cell r="D144">
            <v>28.050936671330035</v>
          </cell>
          <cell r="E144">
            <v>28.217862016998353</v>
          </cell>
          <cell r="F144">
            <v>27.862725992989024</v>
          </cell>
          <cell r="G144">
            <v>27.749982995584222</v>
          </cell>
          <cell r="H144">
            <v>27.527392625893754</v>
          </cell>
          <cell r="I144">
            <v>28.36198222416359</v>
          </cell>
          <cell r="J144">
            <v>29.1288966473222</v>
          </cell>
          <cell r="K144">
            <v>29.852418239575073</v>
          </cell>
        </row>
        <row r="150">
          <cell r="B150">
            <v>657.74873722999996</v>
          </cell>
          <cell r="C150">
            <v>691.3657206466213</v>
          </cell>
          <cell r="D150">
            <v>698.60538290264969</v>
          </cell>
          <cell r="E150">
            <v>635.71836970230959</v>
          </cell>
          <cell r="F150">
            <v>568.29003036071879</v>
          </cell>
          <cell r="G150">
            <v>494.31326804621477</v>
          </cell>
          <cell r="H150">
            <v>419.24995600098708</v>
          </cell>
          <cell r="I150">
            <v>344.89873577332975</v>
          </cell>
          <cell r="J150">
            <v>271.51830086954095</v>
          </cell>
          <cell r="K150">
            <v>199.9612050867344</v>
          </cell>
        </row>
        <row r="151">
          <cell r="B151">
            <v>380.70733008000002</v>
          </cell>
          <cell r="C151">
            <v>385.39927729286433</v>
          </cell>
          <cell r="D151">
            <v>381.29426779437296</v>
          </cell>
          <cell r="E151">
            <v>339.94479050011523</v>
          </cell>
          <cell r="F151">
            <v>297.3101575972791</v>
          </cell>
          <cell r="G151">
            <v>254.14718386044913</v>
          </cell>
          <cell r="H151">
            <v>211.79418524077599</v>
          </cell>
          <cell r="I151">
            <v>174.32067042312784</v>
          </cell>
          <cell r="J151">
            <v>137.30085909555552</v>
          </cell>
          <cell r="K151">
            <v>101.16661056897313</v>
          </cell>
        </row>
        <row r="152">
          <cell r="B152">
            <v>1.2430116738999999</v>
          </cell>
          <cell r="C152">
            <v>1.3615054818282841</v>
          </cell>
          <cell r="D152">
            <v>1.4444298252702474</v>
          </cell>
          <cell r="E152">
            <v>109.9244611382949</v>
          </cell>
          <cell r="F152">
            <v>217.96903405515826</v>
          </cell>
          <cell r="G152">
            <v>322.35935655692367</v>
          </cell>
          <cell r="H152">
            <v>422.29981281449636</v>
          </cell>
          <cell r="I152">
            <v>520.79705062494099</v>
          </cell>
          <cell r="J152">
            <v>614.77580107628114</v>
          </cell>
          <cell r="K152">
            <v>704.14538942958131</v>
          </cell>
        </row>
        <row r="153">
          <cell r="B153">
            <v>18.926640866</v>
          </cell>
          <cell r="C153">
            <v>19.91649742129086</v>
          </cell>
          <cell r="D153">
            <v>20.085733357089381</v>
          </cell>
          <cell r="E153">
            <v>19.95406717451095</v>
          </cell>
          <cell r="F153">
            <v>19.623356646971022</v>
          </cell>
          <cell r="G153">
            <v>18.943151534353721</v>
          </cell>
          <cell r="H153">
            <v>18.192180992011334</v>
          </cell>
          <cell r="I153">
            <v>18.062756434779075</v>
          </cell>
          <cell r="J153">
            <v>17.877917157179567</v>
          </cell>
          <cell r="K153">
            <v>17.657633018410309</v>
          </cell>
        </row>
        <row r="155">
          <cell r="B155">
            <v>30.182609224</v>
          </cell>
          <cell r="C155">
            <v>28.455829338114345</v>
          </cell>
          <cell r="D155">
            <v>27.025004329044116</v>
          </cell>
          <cell r="E155">
            <v>25.984666073803744</v>
          </cell>
          <cell r="F155">
            <v>24.569376654564511</v>
          </cell>
          <cell r="G155">
            <v>23.456530643287209</v>
          </cell>
          <cell r="H155">
            <v>22.313530073349639</v>
          </cell>
          <cell r="I155">
            <v>22.045869554762486</v>
          </cell>
          <cell r="J155">
            <v>21.711262350552609</v>
          </cell>
          <cell r="K155">
            <v>21.334948639202143</v>
          </cell>
        </row>
        <row r="161">
          <cell r="B161">
            <v>30373.708042980001</v>
          </cell>
          <cell r="C161">
            <v>33769.390281043525</v>
          </cell>
          <cell r="D161">
            <v>35674.759537975624</v>
          </cell>
          <cell r="E161">
            <v>33606.519365973792</v>
          </cell>
          <cell r="F161">
            <v>31113.149614196311</v>
          </cell>
          <cell r="G161">
            <v>28009.708942737649</v>
          </cell>
          <cell r="H161">
            <v>24575.002433335067</v>
          </cell>
          <cell r="I161">
            <v>20924.327655618879</v>
          </cell>
          <cell r="J161">
            <v>17052.323254220162</v>
          </cell>
          <cell r="K161">
            <v>13001.925277123322</v>
          </cell>
        </row>
        <row r="162">
          <cell r="B162">
            <v>17104.323927279998</v>
          </cell>
          <cell r="C162">
            <v>18282.88708318221</v>
          </cell>
          <cell r="D162">
            <v>18825.58649208253</v>
          </cell>
          <cell r="E162">
            <v>17299.913441537479</v>
          </cell>
          <cell r="F162">
            <v>15627.256413513023</v>
          </cell>
          <cell r="G162">
            <v>13787.190332683282</v>
          </cell>
          <cell r="H162">
            <v>11850.364438197455</v>
          </cell>
          <cell r="I162">
            <v>10072.487091593386</v>
          </cell>
          <cell r="J162">
            <v>8193.2394213876123</v>
          </cell>
          <cell r="K162">
            <v>6234.0722277888326</v>
          </cell>
        </row>
        <row r="163">
          <cell r="B163">
            <v>102.6492410403</v>
          </cell>
          <cell r="C163">
            <v>119.59667537373835</v>
          </cell>
          <cell r="D163">
            <v>133.81546092219909</v>
          </cell>
          <cell r="E163">
            <v>5802.8547100078413</v>
          </cell>
          <cell r="F163">
            <v>11842.892285378917</v>
          </cell>
          <cell r="G163">
            <v>18079.390757529578</v>
          </cell>
          <cell r="H163">
            <v>24458.091487245951</v>
          </cell>
          <cell r="I163">
            <v>31175.409388882501</v>
          </cell>
          <cell r="J163">
            <v>38050.592463952889</v>
          </cell>
          <cell r="K163">
            <v>45069.631241735413</v>
          </cell>
        </row>
        <row r="164">
          <cell r="B164">
            <v>249.6655534436</v>
          </cell>
          <cell r="C164">
            <v>275.80356363616164</v>
          </cell>
          <cell r="D164">
            <v>289.95999580639972</v>
          </cell>
          <cell r="E164">
            <v>297.65402059249112</v>
          </cell>
          <cell r="F164">
            <v>302.01110749650701</v>
          </cell>
          <cell r="G164">
            <v>300.59160876553324</v>
          </cell>
          <cell r="H164">
            <v>297.45891414183973</v>
          </cell>
          <cell r="I164">
            <v>304.41510825051773</v>
          </cell>
          <cell r="J164">
            <v>310.64303654998389</v>
          </cell>
          <cell r="K164">
            <v>316.41893779545654</v>
          </cell>
        </row>
        <row r="166">
          <cell r="B166">
            <v>1110.9386781444002</v>
          </cell>
          <cell r="C166">
            <v>1146.0871593629872</v>
          </cell>
          <cell r="D166">
            <v>1307.2165924637532</v>
          </cell>
          <cell r="E166">
            <v>1440.4911700913476</v>
          </cell>
          <cell r="F166">
            <v>1484.8692098142624</v>
          </cell>
          <cell r="G166">
            <v>1523.4869116328862</v>
          </cell>
          <cell r="H166">
            <v>1553.4065219880929</v>
          </cell>
          <cell r="I166">
            <v>1636.8995055177097</v>
          </cell>
          <cell r="J166">
            <v>1722.9102947078072</v>
          </cell>
          <cell r="K166">
            <v>1814.88037382327</v>
          </cell>
        </row>
      </sheetData>
      <sheetData sheetId="3"/>
      <sheetData sheetId="4"/>
      <sheetData sheetId="5"/>
      <sheetData sheetId="6"/>
      <sheetData sheetId="7"/>
      <sheetData sheetId="8">
        <row r="7">
          <cell r="H7">
            <v>1318.0454893883975</v>
          </cell>
          <cell r="I7">
            <v>1336.2994962253208</v>
          </cell>
          <cell r="J7">
            <v>1351.0354080998852</v>
          </cell>
          <cell r="K7">
            <v>1363.5552408868523</v>
          </cell>
        </row>
        <row r="18">
          <cell r="H18">
            <v>13727.957550266989</v>
          </cell>
          <cell r="I18">
            <v>14180.979657923728</v>
          </cell>
          <cell r="J18">
            <v>14605.562084465115</v>
          </cell>
          <cell r="K18">
            <v>15013.793127640924</v>
          </cell>
        </row>
        <row r="29">
          <cell r="H29">
            <v>4956.7185816449437</v>
          </cell>
          <cell r="I29">
            <v>5039.8771553364486</v>
          </cell>
          <cell r="J29">
            <v>5107.7444875154924</v>
          </cell>
          <cell r="K29">
            <v>5165.0057728522579</v>
          </cell>
        </row>
        <row r="40">
          <cell r="H40">
            <v>2497.3425174652461</v>
          </cell>
          <cell r="I40">
            <v>2520.4993728904637</v>
          </cell>
          <cell r="J40">
            <v>2535.4481677930098</v>
          </cell>
          <cell r="K40">
            <v>2544.6648855746098</v>
          </cell>
        </row>
        <row r="51">
          <cell r="H51">
            <v>263.92042893354278</v>
          </cell>
          <cell r="I51">
            <v>261.44340454709811</v>
          </cell>
          <cell r="J51">
            <v>258.16521965371891</v>
          </cell>
          <cell r="K51">
            <v>254.38028220871195</v>
          </cell>
        </row>
        <row r="62">
          <cell r="H62">
            <v>1263.8169343773193</v>
          </cell>
          <cell r="I62">
            <v>1279.576045952741</v>
          </cell>
          <cell r="J62">
            <v>1292.206238796226</v>
          </cell>
          <cell r="K62">
            <v>1302.966356247596</v>
          </cell>
        </row>
        <row r="73">
          <cell r="H73">
            <v>1238.1660169138363</v>
          </cell>
          <cell r="I73">
            <v>1264.1873743131634</v>
          </cell>
          <cell r="J73">
            <v>1287.1991326018897</v>
          </cell>
          <cell r="K73">
            <v>1308.3756636516421</v>
          </cell>
        </row>
        <row r="84">
          <cell r="H84">
            <v>2108.9558263644963</v>
          </cell>
          <cell r="I84">
            <v>2111.2955591378809</v>
          </cell>
          <cell r="J84">
            <v>2108.0887433368475</v>
          </cell>
          <cell r="K84">
            <v>2101.5795456117171</v>
          </cell>
        </row>
        <row r="95">
          <cell r="H95">
            <v>4706.6709446084797</v>
          </cell>
          <cell r="I95">
            <v>4810.463175519385</v>
          </cell>
          <cell r="J95">
            <v>4902.0547904506539</v>
          </cell>
          <cell r="K95">
            <v>4985.8654550189194</v>
          </cell>
        </row>
        <row r="106">
          <cell r="H106">
            <v>1180.0333479439407</v>
          </cell>
          <cell r="I106">
            <v>1178.2368815493437</v>
          </cell>
          <cell r="J106">
            <v>1172.7536941993403</v>
          </cell>
          <cell r="K106">
            <v>1164.8424813175338</v>
          </cell>
        </row>
        <row r="117">
          <cell r="H117">
            <v>216.01170718918036</v>
          </cell>
          <cell r="I117">
            <v>210.4564457648284</v>
          </cell>
          <cell r="J117">
            <v>204.39136072549539</v>
          </cell>
          <cell r="K117">
            <v>198.07447205802856</v>
          </cell>
        </row>
        <row r="128">
          <cell r="H128">
            <v>5634.4855275174568</v>
          </cell>
          <cell r="I128">
            <v>5824.7670273686099</v>
          </cell>
          <cell r="J128">
            <v>6002.8034182237052</v>
          </cell>
          <cell r="K128">
            <v>6173.4861977920336</v>
          </cell>
        </row>
        <row r="139">
          <cell r="H139">
            <v>1735.7883228690816</v>
          </cell>
          <cell r="I139">
            <v>1785.8803668064609</v>
          </cell>
          <cell r="J139">
            <v>1831.6411169594246</v>
          </cell>
          <cell r="K139">
            <v>1874.6207431730327</v>
          </cell>
        </row>
        <row r="150">
          <cell r="H150">
            <v>698.48075250130512</v>
          </cell>
          <cell r="I150">
            <v>689.1241838942907</v>
          </cell>
          <cell r="J150">
            <v>677.72873572038088</v>
          </cell>
          <cell r="K150">
            <v>665.08932594503858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formatted Vehicle Summary"/>
      <sheetName val="Formatted Vehicle Summary"/>
    </sheetNames>
    <sheetDataSet>
      <sheetData sheetId="0"/>
      <sheetData sheetId="1">
        <row r="3">
          <cell r="C3">
            <v>104978.65624</v>
          </cell>
        </row>
        <row r="4">
          <cell r="C4">
            <v>114702.80362000001</v>
          </cell>
        </row>
        <row r="5">
          <cell r="C5">
            <v>121946.44544</v>
          </cell>
        </row>
        <row r="6">
          <cell r="C6">
            <v>128191.11937</v>
          </cell>
        </row>
        <row r="7">
          <cell r="C7">
            <v>133861.18953999999</v>
          </cell>
        </row>
        <row r="8">
          <cell r="C8">
            <v>138039.96851999999</v>
          </cell>
        </row>
        <row r="9">
          <cell r="C9">
            <v>142323.35801</v>
          </cell>
        </row>
        <row r="10">
          <cell r="C10">
            <v>872467.79544999998</v>
          </cell>
        </row>
        <row r="11">
          <cell r="C11">
            <v>964025.50419000001</v>
          </cell>
        </row>
        <row r="12">
          <cell r="C12">
            <v>1040099.2498</v>
          </cell>
        </row>
        <row r="13">
          <cell r="C13">
            <v>1114127.497</v>
          </cell>
        </row>
        <row r="14">
          <cell r="C14">
            <v>1184155.5352</v>
          </cell>
        </row>
        <row r="15">
          <cell r="C15">
            <v>1248035.25</v>
          </cell>
        </row>
        <row r="16">
          <cell r="C16">
            <v>1312934.5247</v>
          </cell>
        </row>
        <row r="17">
          <cell r="C17">
            <v>266387.73346999998</v>
          </cell>
        </row>
        <row r="18">
          <cell r="C18">
            <v>289723.90210000001</v>
          </cell>
        </row>
        <row r="19">
          <cell r="C19">
            <v>308308.42489999998</v>
          </cell>
        </row>
        <row r="20">
          <cell r="C20">
            <v>324181.25410000002</v>
          </cell>
        </row>
        <row r="21">
          <cell r="C21">
            <v>338285.98800000001</v>
          </cell>
        </row>
        <row r="22">
          <cell r="C22">
            <v>349051.55387</v>
          </cell>
        </row>
        <row r="23">
          <cell r="C23">
            <v>360047.39250000002</v>
          </cell>
        </row>
        <row r="24">
          <cell r="C24">
            <v>183297.22020000001</v>
          </cell>
        </row>
        <row r="25">
          <cell r="C25">
            <v>197299.98574</v>
          </cell>
        </row>
        <row r="26">
          <cell r="C26">
            <v>208736.18088</v>
          </cell>
        </row>
        <row r="27">
          <cell r="C27">
            <v>218230.38214999999</v>
          </cell>
        </row>
        <row r="28">
          <cell r="C28">
            <v>226525.02312</v>
          </cell>
        </row>
        <row r="29">
          <cell r="C29">
            <v>232925.35852000001</v>
          </cell>
        </row>
        <row r="30">
          <cell r="C30">
            <v>239476.47151</v>
          </cell>
        </row>
        <row r="31">
          <cell r="C31">
            <v>26650.955902999998</v>
          </cell>
        </row>
        <row r="32">
          <cell r="C32">
            <v>28017.591043</v>
          </cell>
        </row>
        <row r="33">
          <cell r="C33">
            <v>28898.027237999999</v>
          </cell>
        </row>
        <row r="34">
          <cell r="C34">
            <v>29968.106521999998</v>
          </cell>
        </row>
        <row r="35">
          <cell r="C35">
            <v>30650.656811000001</v>
          </cell>
        </row>
        <row r="36">
          <cell r="C36">
            <v>31034.283262000001</v>
          </cell>
        </row>
        <row r="37">
          <cell r="C37">
            <v>31428.131594999999</v>
          </cell>
        </row>
        <row r="38">
          <cell r="C38">
            <v>103541.16636</v>
          </cell>
        </row>
        <row r="39">
          <cell r="C39">
            <v>111852.81789999999</v>
          </cell>
        </row>
        <row r="40">
          <cell r="C40">
            <v>118306.90360999999</v>
          </cell>
        </row>
        <row r="41">
          <cell r="C41">
            <v>123684.55454</v>
          </cell>
        </row>
        <row r="42">
          <cell r="C42">
            <v>128564.48853</v>
          </cell>
        </row>
        <row r="43">
          <cell r="C43">
            <v>132331.85706000001</v>
          </cell>
        </row>
        <row r="44">
          <cell r="C44">
            <v>136175.50141</v>
          </cell>
        </row>
        <row r="45">
          <cell r="C45">
            <v>74060.272580000004</v>
          </cell>
        </row>
        <row r="46">
          <cell r="C46">
            <v>80766.983825999996</v>
          </cell>
        </row>
        <row r="47">
          <cell r="C47">
            <v>86481.174203000002</v>
          </cell>
        </row>
        <row r="48">
          <cell r="C48">
            <v>91704.782628000001</v>
          </cell>
        </row>
        <row r="49">
          <cell r="C49">
            <v>96057.765281</v>
          </cell>
        </row>
        <row r="50">
          <cell r="C50">
            <v>100167.50289</v>
          </cell>
        </row>
        <row r="51">
          <cell r="C51">
            <v>104358.98901999999</v>
          </cell>
        </row>
        <row r="52">
          <cell r="C52">
            <v>146543.66057000001</v>
          </cell>
        </row>
        <row r="53">
          <cell r="C53">
            <v>155986.34036999999</v>
          </cell>
        </row>
        <row r="54">
          <cell r="C54">
            <v>162570.19612000001</v>
          </cell>
        </row>
        <row r="55">
          <cell r="C55">
            <v>167672.12422999999</v>
          </cell>
        </row>
        <row r="56">
          <cell r="C56">
            <v>172237.38125999999</v>
          </cell>
        </row>
        <row r="57">
          <cell r="C57">
            <v>174795.63123</v>
          </cell>
        </row>
        <row r="58">
          <cell r="C58">
            <v>177426.93436000001</v>
          </cell>
        </row>
        <row r="59">
          <cell r="C59">
            <v>272805.11940000003</v>
          </cell>
        </row>
        <row r="60">
          <cell r="C60">
            <v>297774.72826</v>
          </cell>
        </row>
        <row r="61">
          <cell r="C61">
            <v>317449.24962000002</v>
          </cell>
        </row>
        <row r="62">
          <cell r="C62">
            <v>335804.45426000003</v>
          </cell>
        </row>
        <row r="63">
          <cell r="C63">
            <v>351502.43537999998</v>
          </cell>
        </row>
        <row r="64">
          <cell r="C64">
            <v>365895.62303000002</v>
          </cell>
        </row>
        <row r="65">
          <cell r="C65">
            <v>380499.13238000002</v>
          </cell>
        </row>
        <row r="66">
          <cell r="C66">
            <v>99341.522463999994</v>
          </cell>
        </row>
        <row r="67">
          <cell r="C67">
            <v>105847.50096</v>
          </cell>
        </row>
        <row r="68">
          <cell r="C68">
            <v>111154.64261</v>
          </cell>
        </row>
        <row r="69">
          <cell r="C69">
            <v>115531.79485000001</v>
          </cell>
        </row>
        <row r="70">
          <cell r="C70">
            <v>118435.29201999999</v>
          </cell>
        </row>
        <row r="71">
          <cell r="C71">
            <v>119609.52265</v>
          </cell>
        </row>
        <row r="72">
          <cell r="C72">
            <v>120821.65517</v>
          </cell>
        </row>
        <row r="73">
          <cell r="C73">
            <v>22769.060554</v>
          </cell>
        </row>
        <row r="74">
          <cell r="C74">
            <v>24251.408837999999</v>
          </cell>
        </row>
        <row r="75">
          <cell r="C75">
            <v>24688.731014000001</v>
          </cell>
        </row>
        <row r="76">
          <cell r="C76">
            <v>25276.096098000002</v>
          </cell>
        </row>
        <row r="77">
          <cell r="C77">
            <v>25183.30646</v>
          </cell>
        </row>
        <row r="78">
          <cell r="C78">
            <v>25228.671904999999</v>
          </cell>
        </row>
        <row r="79">
          <cell r="C79">
            <v>25265.305412000002</v>
          </cell>
        </row>
        <row r="80">
          <cell r="C80">
            <v>392663.75485000003</v>
          </cell>
        </row>
        <row r="81">
          <cell r="C81">
            <v>443494.27334000001</v>
          </cell>
        </row>
        <row r="82">
          <cell r="C82">
            <v>479525.11361</v>
          </cell>
        </row>
        <row r="83">
          <cell r="C83">
            <v>514770.04817000002</v>
          </cell>
        </row>
        <row r="84">
          <cell r="C84">
            <v>547447.12028999999</v>
          </cell>
        </row>
        <row r="85">
          <cell r="C85">
            <v>576408.51139</v>
          </cell>
        </row>
        <row r="86">
          <cell r="C86">
            <v>605899.23627999995</v>
          </cell>
        </row>
        <row r="87">
          <cell r="C87">
            <v>135772.67147</v>
          </cell>
        </row>
        <row r="88">
          <cell r="C88">
            <v>150156.86726999999</v>
          </cell>
        </row>
        <row r="89">
          <cell r="C89">
            <v>161363.68268999999</v>
          </cell>
        </row>
        <row r="90">
          <cell r="C90">
            <v>172630.20835999999</v>
          </cell>
        </row>
        <row r="91">
          <cell r="C91">
            <v>182652.7225</v>
          </cell>
        </row>
        <row r="92">
          <cell r="C92">
            <v>191716.70449</v>
          </cell>
        </row>
        <row r="93">
          <cell r="C93">
            <v>200964.34541000001</v>
          </cell>
        </row>
        <row r="94">
          <cell r="C94">
            <v>68647.598836000005</v>
          </cell>
        </row>
        <row r="95">
          <cell r="C95">
            <v>72850.796711000003</v>
          </cell>
        </row>
        <row r="96">
          <cell r="C96">
            <v>74856.690931000005</v>
          </cell>
        </row>
        <row r="97">
          <cell r="C97">
            <v>76505.744191000005</v>
          </cell>
        </row>
        <row r="98">
          <cell r="C98">
            <v>77616.918718999994</v>
          </cell>
        </row>
        <row r="99">
          <cell r="C99">
            <v>77914.197616000005</v>
          </cell>
        </row>
        <row r="100">
          <cell r="C100">
            <v>78214.775836000001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transport.govt.nz/ourwork/tmif/transport-volume/tv020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A5"/>
  <sheetViews>
    <sheetView workbookViewId="0">
      <selection activeCell="J24" sqref="J24"/>
    </sheetView>
  </sheetViews>
  <sheetFormatPr defaultRowHeight="12.5" x14ac:dyDescent="0.25"/>
  <sheetData>
    <row r="3" spans="1:1" x14ac:dyDescent="0.25">
      <c r="A3" t="s">
        <v>173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C3:Q29"/>
  <sheetViews>
    <sheetView zoomScale="90" zoomScaleNormal="90" workbookViewId="0">
      <selection activeCell="S28" sqref="S28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52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'Scaled 2012-13 Data'!$F6</f>
        <v>9.7590652962429942</v>
      </c>
      <c r="E7" s="53">
        <f>'Scaled 2013-14 Data'!$F6</f>
        <v>10.401779044802701</v>
      </c>
      <c r="F7" s="53">
        <f>'Scaled 2014-15 Data'!$F6</f>
        <v>11.633802891815147</v>
      </c>
      <c r="G7" s="53">
        <f>'Scaled 2015-16 Data'!$F6</f>
        <v>11.652795408584044</v>
      </c>
      <c r="H7" s="53">
        <f>'Scaled 2016-17 Data'!$F6</f>
        <v>11.219540743730134</v>
      </c>
      <c r="I7" s="53">
        <f>'Scaled 2017-18 Data'!$F6</f>
        <v>12.523240539913349</v>
      </c>
      <c r="J7" s="53">
        <f ca="1">$I7*('Heavy Bus Supporting Data'!$J35*('Heavy Bus Supporting Data'!J7/'Heavy Bus Supporting Data'!$I7)+(1-'Heavy Bus Supporting Data'!$J35)*('Heavy Bus Supporting Data'!J$28/'Heavy Bus Supporting Data'!$I$28))</f>
        <v>14.586219966159364</v>
      </c>
      <c r="K7" s="53">
        <f ca="1">$I7*('Heavy Bus Supporting Data'!$J35*('Heavy Bus Supporting Data'!K7/'Heavy Bus Supporting Data'!$I7)+(1-'Heavy Bus Supporting Data'!$J35)*('Heavy Bus Supporting Data'!K$28/'Heavy Bus Supporting Data'!$I$28))</f>
        <v>16.371204317234714</v>
      </c>
      <c r="L7" s="53">
        <f ca="1">$I7*('Heavy Bus Supporting Data'!$J35*('Heavy Bus Supporting Data'!L7/'Heavy Bus Supporting Data'!$I7)+(1-'Heavy Bus Supporting Data'!$J35)*('Heavy Bus Supporting Data'!L$28/'Heavy Bus Supporting Data'!$I$28))</f>
        <v>18.077113676631011</v>
      </c>
      <c r="M7" s="53">
        <f ca="1">$I7*('Heavy Bus Supporting Data'!$J35*('Heavy Bus Supporting Data'!M7/'Heavy Bus Supporting Data'!$I7)+(1-'Heavy Bus Supporting Data'!$J35)*('Heavy Bus Supporting Data'!M$28/'Heavy Bus Supporting Data'!$I$28))</f>
        <v>20.119056390757748</v>
      </c>
      <c r="N7" s="53">
        <f ca="1">$I7*('Heavy Bus Supporting Data'!$J35*('Heavy Bus Supporting Data'!N7/'Heavy Bus Supporting Data'!$I7)+(1-'Heavy Bus Supporting Data'!$J35)*('Heavy Bus Supporting Data'!N$28/'Heavy Bus Supporting Data'!$I$28))</f>
        <v>22.477758707964256</v>
      </c>
      <c r="O7" s="53">
        <f ca="1">$I7*('Heavy Bus Supporting Data'!$J35*('Heavy Bus Supporting Data'!O7/'Heavy Bus Supporting Data'!$I7)+(1-'Heavy Bus Supporting Data'!$J35)*('Heavy Bus Supporting Data'!O$28/'Heavy Bus Supporting Data'!$I$28))</f>
        <v>25.404497168158947</v>
      </c>
      <c r="P7" s="53">
        <f ca="1">$I7*('Heavy Bus Supporting Data'!$J35*('Heavy Bus Supporting Data'!P7/'Heavy Bus Supporting Data'!$I7)+(1-'Heavy Bus Supporting Data'!$J35)*('Heavy Bus Supporting Data'!P$28/'Heavy Bus Supporting Data'!$I$28))</f>
        <v>28.774203696151279</v>
      </c>
      <c r="Q7" s="54">
        <f ca="1">$I7*('Heavy Bus Supporting Data'!$J35*('Heavy Bus Supporting Data'!Q7/'Heavy Bus Supporting Data'!$I7)+(1-'Heavy Bus Supporting Data'!$J35)*('Heavy Bus Supporting Data'!Q$28/'Heavy Bus Supporting Data'!$I$28))</f>
        <v>32.663803750741828</v>
      </c>
    </row>
    <row r="8" spans="3:17" ht="15.5" x14ac:dyDescent="0.35">
      <c r="C8" s="24" t="s">
        <v>1</v>
      </c>
      <c r="D8" s="55">
        <f>'Scaled 2012-13 Data'!F7</f>
        <v>85.402371473777777</v>
      </c>
      <c r="E8" s="56">
        <f>'Scaled 2013-14 Data'!$F7</f>
        <v>88.715466881974692</v>
      </c>
      <c r="F8" s="56">
        <f>'Scaled 2014-15 Data'!$F7</f>
        <v>89.958725264677341</v>
      </c>
      <c r="G8" s="56">
        <f>'Scaled 2015-16 Data'!$F7</f>
        <v>91.803050625011281</v>
      </c>
      <c r="H8" s="56">
        <f>'Scaled 2016-17 Data'!$F7</f>
        <v>101.89383247207647</v>
      </c>
      <c r="I8" s="56">
        <f>'Scaled 2017-18 Data'!$F7</f>
        <v>109.00265974514878</v>
      </c>
      <c r="J8" s="56">
        <f ca="1">$I8*('Heavy Bus Supporting Data'!$J36*('Heavy Bus Supporting Data'!J8/'Heavy Bus Supporting Data'!$I8)+(1-'Heavy Bus Supporting Data'!$J36)*('Heavy Bus Supporting Data'!J$28/'Heavy Bus Supporting Data'!$I$28))</f>
        <v>141.22245581067423</v>
      </c>
      <c r="K8" s="56">
        <f ca="1">$I8*('Heavy Bus Supporting Data'!$J36*('Heavy Bus Supporting Data'!K8/'Heavy Bus Supporting Data'!$I8)+(1-'Heavy Bus Supporting Data'!$J36)*('Heavy Bus Supporting Data'!K$28/'Heavy Bus Supporting Data'!$I$28))</f>
        <v>168.42121283807901</v>
      </c>
      <c r="L8" s="56">
        <f ca="1">$I8*('Heavy Bus Supporting Data'!$J36*('Heavy Bus Supporting Data'!L8/'Heavy Bus Supporting Data'!$I8)+(1-'Heavy Bus Supporting Data'!$J36)*('Heavy Bus Supporting Data'!L$28/'Heavy Bus Supporting Data'!$I$28))</f>
        <v>187.56734902619803</v>
      </c>
      <c r="M8" s="56">
        <f ca="1">$I8*('Heavy Bus Supporting Data'!$J36*('Heavy Bus Supporting Data'!M8/'Heavy Bus Supporting Data'!$I8)+(1-'Heavy Bus Supporting Data'!$J36)*('Heavy Bus Supporting Data'!M$28/'Heavy Bus Supporting Data'!$I$28))</f>
        <v>207.8140284199747</v>
      </c>
      <c r="N8" s="56">
        <f ca="1">$I8*('Heavy Bus Supporting Data'!$J36*('Heavy Bus Supporting Data'!N8/'Heavy Bus Supporting Data'!$I8)+(1-'Heavy Bus Supporting Data'!$J36)*('Heavy Bus Supporting Data'!N$28/'Heavy Bus Supporting Data'!$I$28))</f>
        <v>229.68908052763666</v>
      </c>
      <c r="O8" s="56">
        <f ca="1">$I8*('Heavy Bus Supporting Data'!$J36*('Heavy Bus Supporting Data'!O8/'Heavy Bus Supporting Data'!$I8)+(1-'Heavy Bus Supporting Data'!$J36)*('Heavy Bus Supporting Data'!O$28/'Heavy Bus Supporting Data'!$I$28))</f>
        <v>258.47296739612909</v>
      </c>
      <c r="P8" s="56">
        <f ca="1">$I8*('Heavy Bus Supporting Data'!$J36*('Heavy Bus Supporting Data'!P8/'Heavy Bus Supporting Data'!$I8)+(1-'Heavy Bus Supporting Data'!$J36)*('Heavy Bus Supporting Data'!P$28/'Heavy Bus Supporting Data'!$I$28))</f>
        <v>290.86917783982511</v>
      </c>
      <c r="Q8" s="57">
        <f ca="1">$I8*('Heavy Bus Supporting Data'!$J36*('Heavy Bus Supporting Data'!Q8/'Heavy Bus Supporting Data'!$I8)+(1-'Heavy Bus Supporting Data'!$J36)*('Heavy Bus Supporting Data'!Q$28/'Heavy Bus Supporting Data'!$I$28))</f>
        <v>327.76204350409154</v>
      </c>
    </row>
    <row r="9" spans="3:17" ht="15.5" x14ac:dyDescent="0.35">
      <c r="C9" s="24" t="s">
        <v>2</v>
      </c>
      <c r="D9" s="55">
        <f>'Scaled 2012-13 Data'!F8</f>
        <v>19.836624405115462</v>
      </c>
      <c r="E9" s="56">
        <f>'Scaled 2013-14 Data'!$F8</f>
        <v>20.79901394805454</v>
      </c>
      <c r="F9" s="56">
        <f>'Scaled 2014-15 Data'!$F8</f>
        <v>20.835262851845872</v>
      </c>
      <c r="G9" s="56">
        <f>'Scaled 2015-16 Data'!$F8</f>
        <v>22.413106218844494</v>
      </c>
      <c r="H9" s="56">
        <f>'Scaled 2016-17 Data'!$F8</f>
        <v>22.969028075780507</v>
      </c>
      <c r="I9" s="56">
        <f>'Scaled 2017-18 Data'!$F8</f>
        <v>23.356702300965829</v>
      </c>
      <c r="J9" s="56">
        <f ca="1">$I9*('Heavy Bus Supporting Data'!$J37*('Heavy Bus Supporting Data'!J9/'Heavy Bus Supporting Data'!$I9)+(1-'Heavy Bus Supporting Data'!$J37)*('Heavy Bus Supporting Data'!J$28/'Heavy Bus Supporting Data'!$I$28))</f>
        <v>27.7875983129214</v>
      </c>
      <c r="K9" s="56">
        <f ca="1">$I9*('Heavy Bus Supporting Data'!$J37*('Heavy Bus Supporting Data'!K9/'Heavy Bus Supporting Data'!$I9)+(1-'Heavy Bus Supporting Data'!$J37)*('Heavy Bus Supporting Data'!K$28/'Heavy Bus Supporting Data'!$I$28))</f>
        <v>31.610883200327486</v>
      </c>
      <c r="L9" s="56">
        <f ca="1">$I9*('Heavy Bus Supporting Data'!$J37*('Heavy Bus Supporting Data'!L9/'Heavy Bus Supporting Data'!$I9)+(1-'Heavy Bus Supporting Data'!$J37)*('Heavy Bus Supporting Data'!L$28/'Heavy Bus Supporting Data'!$I$28))</f>
        <v>35.332085749827911</v>
      </c>
      <c r="M9" s="56">
        <f ca="1">$I9*('Heavy Bus Supporting Data'!$J37*('Heavy Bus Supporting Data'!M9/'Heavy Bus Supporting Data'!$I9)+(1-'Heavy Bus Supporting Data'!$J37)*('Heavy Bus Supporting Data'!M$28/'Heavy Bus Supporting Data'!$I$28))</f>
        <v>39.73617625009647</v>
      </c>
      <c r="N9" s="56">
        <f ca="1">$I9*('Heavy Bus Supporting Data'!$J37*('Heavy Bus Supporting Data'!N9/'Heavy Bus Supporting Data'!$I9)+(1-'Heavy Bus Supporting Data'!$J37)*('Heavy Bus Supporting Data'!N$28/'Heavy Bus Supporting Data'!$I$28))</f>
        <v>44.830335799076579</v>
      </c>
      <c r="O9" s="56">
        <f ca="1">$I9*('Heavy Bus Supporting Data'!$J37*('Heavy Bus Supporting Data'!O9/'Heavy Bus Supporting Data'!$I9)+(1-'Heavy Bus Supporting Data'!$J37)*('Heavy Bus Supporting Data'!O$28/'Heavy Bus Supporting Data'!$I$28))</f>
        <v>51.015817784389441</v>
      </c>
      <c r="P9" s="56">
        <f ca="1">$I9*('Heavy Bus Supporting Data'!$J37*('Heavy Bus Supporting Data'!P9/'Heavy Bus Supporting Data'!$I9)+(1-'Heavy Bus Supporting Data'!$J37)*('Heavy Bus Supporting Data'!P$28/'Heavy Bus Supporting Data'!$I$28))</f>
        <v>58.145971716250884</v>
      </c>
      <c r="Q9" s="57">
        <f ca="1">$I9*('Heavy Bus Supporting Data'!$J37*('Heavy Bus Supporting Data'!Q9/'Heavy Bus Supporting Data'!$I9)+(1-'Heavy Bus Supporting Data'!$J37)*('Heavy Bus Supporting Data'!Q$28/'Heavy Bus Supporting Data'!$I$28))</f>
        <v>66.380902365414812</v>
      </c>
    </row>
    <row r="10" spans="3:17" ht="15.5" x14ac:dyDescent="0.35">
      <c r="C10" s="24" t="s">
        <v>3</v>
      </c>
      <c r="D10" s="55">
        <f>'Scaled 2012-13 Data'!F9</f>
        <v>13.259233392712881</v>
      </c>
      <c r="E10" s="56">
        <f>'Scaled 2013-14 Data'!$F9</f>
        <v>14.756134418666809</v>
      </c>
      <c r="F10" s="56">
        <f>'Scaled 2014-15 Data'!$F9</f>
        <v>14.472403850445561</v>
      </c>
      <c r="G10" s="56">
        <f>'Scaled 2015-16 Data'!$F9</f>
        <v>15.451537176180921</v>
      </c>
      <c r="H10" s="56">
        <f>'Scaled 2016-17 Data'!$F9</f>
        <v>15.704149949548299</v>
      </c>
      <c r="I10" s="56">
        <f>'Scaled 2017-18 Data'!$F9</f>
        <v>15.878220179345071</v>
      </c>
      <c r="J10" s="56">
        <f ca="1">$I10*('Heavy Bus Supporting Data'!$J38*('Heavy Bus Supporting Data'!J10/'Heavy Bus Supporting Data'!$I10)+(1-'Heavy Bus Supporting Data'!$J38)*('Heavy Bus Supporting Data'!J$28/'Heavy Bus Supporting Data'!$I$28))</f>
        <v>17.96069227021102</v>
      </c>
      <c r="K10" s="56">
        <f ca="1">$I10*('Heavy Bus Supporting Data'!$J38*('Heavy Bus Supporting Data'!K10/'Heavy Bus Supporting Data'!$I10)+(1-'Heavy Bus Supporting Data'!$J38)*('Heavy Bus Supporting Data'!K$28/'Heavy Bus Supporting Data'!$I$28))</f>
        <v>19.769532661219202</v>
      </c>
      <c r="L10" s="56">
        <f ca="1">$I10*('Heavy Bus Supporting Data'!$J38*('Heavy Bus Supporting Data'!L10/'Heavy Bus Supporting Data'!$I10)+(1-'Heavy Bus Supporting Data'!$J38)*('Heavy Bus Supporting Data'!L$28/'Heavy Bus Supporting Data'!$I$28))</f>
        <v>21.453589396213935</v>
      </c>
      <c r="M10" s="56">
        <f ca="1">$I10*('Heavy Bus Supporting Data'!$J38*('Heavy Bus Supporting Data'!M10/'Heavy Bus Supporting Data'!$I10)+(1-'Heavy Bus Supporting Data'!$J38)*('Heavy Bus Supporting Data'!M$28/'Heavy Bus Supporting Data'!$I$28))</f>
        <v>23.511696179293835</v>
      </c>
      <c r="N10" s="56">
        <f ca="1">$I10*('Heavy Bus Supporting Data'!$J38*('Heavy Bus Supporting Data'!N10/'Heavy Bus Supporting Data'!$I10)+(1-'Heavy Bus Supporting Data'!$J38)*('Heavy Bus Supporting Data'!N$28/'Heavy Bus Supporting Data'!$I$28))</f>
        <v>25.897905818131438</v>
      </c>
      <c r="O10" s="56">
        <f ca="1">$I10*('Heavy Bus Supporting Data'!$J38*('Heavy Bus Supporting Data'!O10/'Heavy Bus Supporting Data'!$I10)+(1-'Heavy Bus Supporting Data'!$J38)*('Heavy Bus Supporting Data'!O$28/'Heavy Bus Supporting Data'!$I$28))</f>
        <v>28.966761553416287</v>
      </c>
      <c r="P10" s="56">
        <f ca="1">$I10*('Heavy Bus Supporting Data'!$J38*('Heavy Bus Supporting Data'!P10/'Heavy Bus Supporting Data'!$I10)+(1-'Heavy Bus Supporting Data'!$J38)*('Heavy Bus Supporting Data'!P$28/'Heavy Bus Supporting Data'!$I$28))</f>
        <v>32.488786721237325</v>
      </c>
      <c r="Q10" s="57">
        <f ca="1">$I10*('Heavy Bus Supporting Data'!$J38*('Heavy Bus Supporting Data'!Q10/'Heavy Bus Supporting Data'!$I10)+(1-'Heavy Bus Supporting Data'!$J38)*('Heavy Bus Supporting Data'!Q$28/'Heavy Bus Supporting Data'!$I$28))</f>
        <v>36.546867559257322</v>
      </c>
    </row>
    <row r="11" spans="3:17" ht="15.5" x14ac:dyDescent="0.35">
      <c r="C11" s="24" t="s">
        <v>4</v>
      </c>
      <c r="D11" s="55">
        <f>'Scaled 2012-13 Data'!F10</f>
        <v>1.5184457280733668</v>
      </c>
      <c r="E11" s="56">
        <f>'Scaled 2013-14 Data'!$F10</f>
        <v>1.9072379251640335</v>
      </c>
      <c r="F11" s="56">
        <f>'Scaled 2014-15 Data'!$F10</f>
        <v>2.0051713428473192</v>
      </c>
      <c r="G11" s="56">
        <f>'Scaled 2015-16 Data'!$F10</f>
        <v>2.1004346546201038</v>
      </c>
      <c r="H11" s="56">
        <f>'Scaled 2016-17 Data'!$F10</f>
        <v>1.8437925209266235</v>
      </c>
      <c r="I11" s="56">
        <f>'Scaled 2017-18 Data'!$F10</f>
        <v>1.4214367800522809</v>
      </c>
      <c r="J11" s="56">
        <f ca="1">$I11*('Heavy Bus Supporting Data'!$J39*('Heavy Bus Supporting Data'!J11/'Heavy Bus Supporting Data'!$I11)+(1-'Heavy Bus Supporting Data'!$J39)*('Heavy Bus Supporting Data'!J$28/'Heavy Bus Supporting Data'!$I$28))</f>
        <v>1.7602516848933702</v>
      </c>
      <c r="K11" s="56">
        <f ca="1">$I11*('Heavy Bus Supporting Data'!$J39*('Heavy Bus Supporting Data'!K11/'Heavy Bus Supporting Data'!$I11)+(1-'Heavy Bus Supporting Data'!$J39)*('Heavy Bus Supporting Data'!K$28/'Heavy Bus Supporting Data'!$I$28))</f>
        <v>2.0525558579031262</v>
      </c>
      <c r="L11" s="56">
        <f ca="1">$I11*('Heavy Bus Supporting Data'!$J39*('Heavy Bus Supporting Data'!L11/'Heavy Bus Supporting Data'!$I11)+(1-'Heavy Bus Supporting Data'!$J39)*('Heavy Bus Supporting Data'!L$28/'Heavy Bus Supporting Data'!$I$28))</f>
        <v>2.3445599130022434</v>
      </c>
      <c r="M11" s="56">
        <f ca="1">$I11*('Heavy Bus Supporting Data'!$J39*('Heavy Bus Supporting Data'!M11/'Heavy Bus Supporting Data'!$I11)+(1-'Heavy Bus Supporting Data'!$J39)*('Heavy Bus Supporting Data'!M$28/'Heavy Bus Supporting Data'!$I$28))</f>
        <v>2.6859443225941022</v>
      </c>
      <c r="N11" s="56">
        <f ca="1">$I11*('Heavy Bus Supporting Data'!$J39*('Heavy Bus Supporting Data'!N11/'Heavy Bus Supporting Data'!$I11)+(1-'Heavy Bus Supporting Data'!$J39)*('Heavy Bus Supporting Data'!N$28/'Heavy Bus Supporting Data'!$I$28))</f>
        <v>3.0825132486917286</v>
      </c>
      <c r="O11" s="56">
        <f ca="1">$I11*('Heavy Bus Supporting Data'!$J39*('Heavy Bus Supporting Data'!O11/'Heavy Bus Supporting Data'!$I11)+(1-'Heavy Bus Supporting Data'!$J39)*('Heavy Bus Supporting Data'!O$28/'Heavy Bus Supporting Data'!$I$28))</f>
        <v>3.54903623205657</v>
      </c>
      <c r="P11" s="56">
        <f ca="1">$I11*('Heavy Bus Supporting Data'!$J39*('Heavy Bus Supporting Data'!P11/'Heavy Bus Supporting Data'!$I11)+(1-'Heavy Bus Supporting Data'!$J39)*('Heavy Bus Supporting Data'!P$28/'Heavy Bus Supporting Data'!$I$28))</f>
        <v>4.0895960538529073</v>
      </c>
      <c r="Q11" s="57">
        <f ca="1">$I11*('Heavy Bus Supporting Data'!$J39*('Heavy Bus Supporting Data'!Q11/'Heavy Bus Supporting Data'!$I11)+(1-'Heavy Bus Supporting Data'!$J39)*('Heavy Bus Supporting Data'!Q$28/'Heavy Bus Supporting Data'!$I$28))</f>
        <v>4.7162190162619453</v>
      </c>
    </row>
    <row r="12" spans="3:17" ht="15.5" x14ac:dyDescent="0.35">
      <c r="C12" s="24" t="s">
        <v>5</v>
      </c>
      <c r="D12" s="55">
        <f>'Scaled 2012-13 Data'!F11</f>
        <v>5.3007389387002126</v>
      </c>
      <c r="E12" s="56">
        <f>'Scaled 2013-14 Data'!$F11</f>
        <v>5.7748539322517694</v>
      </c>
      <c r="F12" s="56">
        <f>'Scaled 2014-15 Data'!$F11</f>
        <v>5.4696381884381386</v>
      </c>
      <c r="G12" s="56">
        <f>'Scaled 2015-16 Data'!$F11</f>
        <v>5.461851902141678</v>
      </c>
      <c r="H12" s="56">
        <f>'Scaled 2016-17 Data'!$F11</f>
        <v>5.410971667425196</v>
      </c>
      <c r="I12" s="56">
        <f>'Scaled 2017-18 Data'!$F11</f>
        <v>5.7064929489372167</v>
      </c>
      <c r="J12" s="56">
        <f ca="1">$I12*('Heavy Bus Supporting Data'!$J40*('Heavy Bus Supporting Data'!J12/'Heavy Bus Supporting Data'!$I12)+(1-'Heavy Bus Supporting Data'!$J40)*('Heavy Bus Supporting Data'!J$28/'Heavy Bus Supporting Data'!$I$28))</f>
        <v>6.453391655985719</v>
      </c>
      <c r="K12" s="56">
        <f ca="1">$I12*('Heavy Bus Supporting Data'!$J40*('Heavy Bus Supporting Data'!K12/'Heavy Bus Supporting Data'!$I12)+(1-'Heavy Bus Supporting Data'!$J40)*('Heavy Bus Supporting Data'!K$28/'Heavy Bus Supporting Data'!$I$28))</f>
        <v>7.1041147414249712</v>
      </c>
      <c r="L12" s="56">
        <f ca="1">$I12*('Heavy Bus Supporting Data'!$J40*('Heavy Bus Supporting Data'!L12/'Heavy Bus Supporting Data'!$I12)+(1-'Heavy Bus Supporting Data'!$J40)*('Heavy Bus Supporting Data'!L$28/'Heavy Bus Supporting Data'!$I$28))</f>
        <v>7.7104670636763881</v>
      </c>
      <c r="M12" s="56">
        <f ca="1">$I12*('Heavy Bus Supporting Data'!$J40*('Heavy Bus Supporting Data'!M12/'Heavy Bus Supporting Data'!$I12)+(1-'Heavy Bus Supporting Data'!$J40)*('Heavy Bus Supporting Data'!M$28/'Heavy Bus Supporting Data'!$I$28))</f>
        <v>8.4536217770551332</v>
      </c>
      <c r="N12" s="56">
        <f ca="1">$I12*('Heavy Bus Supporting Data'!$J40*('Heavy Bus Supporting Data'!N12/'Heavy Bus Supporting Data'!$I12)+(1-'Heavy Bus Supporting Data'!$J40)*('Heavy Bus Supporting Data'!N$28/'Heavy Bus Supporting Data'!$I$28))</f>
        <v>9.3173168393480541</v>
      </c>
      <c r="O12" s="56">
        <f ca="1">$I12*('Heavy Bus Supporting Data'!$J40*('Heavy Bus Supporting Data'!O12/'Heavy Bus Supporting Data'!$I12)+(1-'Heavy Bus Supporting Data'!$J40)*('Heavy Bus Supporting Data'!O$28/'Heavy Bus Supporting Data'!$I$28))</f>
        <v>10.428551422873552</v>
      </c>
      <c r="P12" s="56">
        <f ca="1">$I12*('Heavy Bus Supporting Data'!$J40*('Heavy Bus Supporting Data'!P12/'Heavy Bus Supporting Data'!$I12)+(1-'Heavy Bus Supporting Data'!$J40)*('Heavy Bus Supporting Data'!P$28/'Heavy Bus Supporting Data'!$I$28))</f>
        <v>11.704726653937847</v>
      </c>
      <c r="Q12" s="57">
        <f ca="1">$I12*('Heavy Bus Supporting Data'!$J40*('Heavy Bus Supporting Data'!Q12/'Heavy Bus Supporting Data'!$I12)+(1-'Heavy Bus Supporting Data'!$J40)*('Heavy Bus Supporting Data'!Q$28/'Heavy Bus Supporting Data'!$I$28))</f>
        <v>13.175660124687807</v>
      </c>
    </row>
    <row r="13" spans="3:17" ht="15.5" x14ac:dyDescent="0.35">
      <c r="C13" s="24" t="s">
        <v>6</v>
      </c>
      <c r="D13" s="55">
        <f>'Scaled 2012-13 Data'!F12</f>
        <v>3.203949144786765</v>
      </c>
      <c r="E13" s="56">
        <f>'Scaled 2013-14 Data'!$F12</f>
        <v>3.5740403432055636</v>
      </c>
      <c r="F13" s="56">
        <f>'Scaled 2014-15 Data'!$F12</f>
        <v>3.8117059405101812</v>
      </c>
      <c r="G13" s="56">
        <f>'Scaled 2015-16 Data'!$F12</f>
        <v>3.4933687028547404</v>
      </c>
      <c r="H13" s="56">
        <f>'Scaled 2016-17 Data'!$F12</f>
        <v>3.5737925857278485</v>
      </c>
      <c r="I13" s="56">
        <f>'Scaled 2017-18 Data'!$F12</f>
        <v>3.4598368616574886</v>
      </c>
      <c r="J13" s="56">
        <f ca="1">$I13*('Heavy Bus Supporting Data'!$J41*('Heavy Bus Supporting Data'!J13/'Heavy Bus Supporting Data'!$I13)+(1-'Heavy Bus Supporting Data'!$J41)*('Heavy Bus Supporting Data'!J$28/'Heavy Bus Supporting Data'!$I$28))</f>
        <v>4.0505077180727493</v>
      </c>
      <c r="K13" s="56">
        <f ca="1">$I13*('Heavy Bus Supporting Data'!$J41*('Heavy Bus Supporting Data'!K13/'Heavy Bus Supporting Data'!$I13)+(1-'Heavy Bus Supporting Data'!$J41)*('Heavy Bus Supporting Data'!K$28/'Heavy Bus Supporting Data'!$I$28))</f>
        <v>4.5621409009764324</v>
      </c>
      <c r="L13" s="56">
        <f ca="1">$I13*('Heavy Bus Supporting Data'!$J41*('Heavy Bus Supporting Data'!L13/'Heavy Bus Supporting Data'!$I13)+(1-'Heavy Bus Supporting Data'!$J41)*('Heavy Bus Supporting Data'!L$28/'Heavy Bus Supporting Data'!$I$28))</f>
        <v>5.0558558907321851</v>
      </c>
      <c r="M13" s="56">
        <f ca="1">$I13*('Heavy Bus Supporting Data'!$J41*('Heavy Bus Supporting Data'!M13/'Heavy Bus Supporting Data'!$I13)+(1-'Heavy Bus Supporting Data'!$J41)*('Heavy Bus Supporting Data'!M$28/'Heavy Bus Supporting Data'!$I$28))</f>
        <v>5.6453162903067646</v>
      </c>
      <c r="N13" s="56">
        <f ca="1">$I13*('Heavy Bus Supporting Data'!$J41*('Heavy Bus Supporting Data'!N13/'Heavy Bus Supporting Data'!$I13)+(1-'Heavy Bus Supporting Data'!$J41)*('Heavy Bus Supporting Data'!N$28/'Heavy Bus Supporting Data'!$I$28))</f>
        <v>6.3274197070616145</v>
      </c>
      <c r="O13" s="56">
        <f ca="1">$I13*('Heavy Bus Supporting Data'!$J41*('Heavy Bus Supporting Data'!O13/'Heavy Bus Supporting Data'!$I13)+(1-'Heavy Bus Supporting Data'!$J41)*('Heavy Bus Supporting Data'!O$28/'Heavy Bus Supporting Data'!$I$28))</f>
        <v>7.1684746840221782</v>
      </c>
      <c r="P13" s="56">
        <f ca="1">$I13*('Heavy Bus Supporting Data'!$J41*('Heavy Bus Supporting Data'!P13/'Heavy Bus Supporting Data'!$I13)+(1-'Heavy Bus Supporting Data'!$J41)*('Heavy Bus Supporting Data'!P$28/'Heavy Bus Supporting Data'!$I$28))</f>
        <v>8.136183229215856</v>
      </c>
      <c r="Q13" s="57">
        <f ca="1">$I13*('Heavy Bus Supporting Data'!$J41*('Heavy Bus Supporting Data'!Q13/'Heavy Bus Supporting Data'!$I13)+(1-'Heavy Bus Supporting Data'!$J41)*('Heavy Bus Supporting Data'!Q$28/'Heavy Bus Supporting Data'!$I$28))</f>
        <v>9.2523311457901247</v>
      </c>
    </row>
    <row r="14" spans="3:17" ht="15.5" x14ac:dyDescent="0.35">
      <c r="C14" s="24" t="s">
        <v>7</v>
      </c>
      <c r="D14" s="55">
        <f>'Scaled 2012-13 Data'!F13</f>
        <v>8.1031372449564749</v>
      </c>
      <c r="E14" s="56">
        <f>'Scaled 2013-14 Data'!$F13</f>
        <v>8.680327588734146</v>
      </c>
      <c r="F14" s="56">
        <f>'Scaled 2014-15 Data'!$F13</f>
        <v>8.8252999028763366</v>
      </c>
      <c r="G14" s="56">
        <f>'Scaled 2015-16 Data'!$F13</f>
        <v>9.2252425092049108</v>
      </c>
      <c r="H14" s="56">
        <f>'Scaled 2016-17 Data'!$F13</f>
        <v>9.6975881647231397</v>
      </c>
      <c r="I14" s="56">
        <f>'Scaled 2017-18 Data'!$F13</f>
        <v>10.283034094080584</v>
      </c>
      <c r="J14" s="56">
        <f ca="1">$I14*('Heavy Bus Supporting Data'!$J42*('Heavy Bus Supporting Data'!J14/'Heavy Bus Supporting Data'!$I14)+(1-'Heavy Bus Supporting Data'!$J42)*('Heavy Bus Supporting Data'!J$28/'Heavy Bus Supporting Data'!$I$28))</f>
        <v>11.568032440310073</v>
      </c>
      <c r="K14" s="56">
        <f ca="1">$I14*('Heavy Bus Supporting Data'!$J42*('Heavy Bus Supporting Data'!K14/'Heavy Bus Supporting Data'!$I14)+(1-'Heavy Bus Supporting Data'!$J42)*('Heavy Bus Supporting Data'!K$28/'Heavy Bus Supporting Data'!$I$28))</f>
        <v>12.691786287623033</v>
      </c>
      <c r="L14" s="56">
        <f ca="1">$I14*('Heavy Bus Supporting Data'!$J42*('Heavy Bus Supporting Data'!L14/'Heavy Bus Supporting Data'!$I14)+(1-'Heavy Bus Supporting Data'!$J42)*('Heavy Bus Supporting Data'!L$28/'Heavy Bus Supporting Data'!$I$28))</f>
        <v>13.74088572561684</v>
      </c>
      <c r="M14" s="56">
        <f ca="1">$I14*('Heavy Bus Supporting Data'!$J42*('Heavy Bus Supporting Data'!M14/'Heavy Bus Supporting Data'!$I14)+(1-'Heavy Bus Supporting Data'!$J42)*('Heavy Bus Supporting Data'!M$28/'Heavy Bus Supporting Data'!$I$28))</f>
        <v>15.037629025314555</v>
      </c>
      <c r="N14" s="56">
        <f ca="1">$I14*('Heavy Bus Supporting Data'!$J42*('Heavy Bus Supporting Data'!N14/'Heavy Bus Supporting Data'!$I14)+(1-'Heavy Bus Supporting Data'!$J42)*('Heavy Bus Supporting Data'!N$28/'Heavy Bus Supporting Data'!$I$28))</f>
        <v>16.549389818172056</v>
      </c>
      <c r="O14" s="56">
        <f ca="1">$I14*('Heavy Bus Supporting Data'!$J42*('Heavy Bus Supporting Data'!O14/'Heavy Bus Supporting Data'!$I14)+(1-'Heavy Bus Supporting Data'!$J42)*('Heavy Bus Supporting Data'!O$28/'Heavy Bus Supporting Data'!$I$28))</f>
        <v>18.498645426020566</v>
      </c>
      <c r="P14" s="56">
        <f ca="1">$I14*('Heavy Bus Supporting Data'!$J42*('Heavy Bus Supporting Data'!P14/'Heavy Bus Supporting Data'!$I14)+(1-'Heavy Bus Supporting Data'!$J42)*('Heavy Bus Supporting Data'!P$28/'Heavy Bus Supporting Data'!$I$28))</f>
        <v>20.744903974751093</v>
      </c>
      <c r="Q14" s="57">
        <f ca="1">$I14*('Heavy Bus Supporting Data'!$J42*('Heavy Bus Supporting Data'!Q14/'Heavy Bus Supporting Data'!$I14)+(1-'Heavy Bus Supporting Data'!$J42)*('Heavy Bus Supporting Data'!Q$28/'Heavy Bus Supporting Data'!$I$28))</f>
        <v>23.341961304105649</v>
      </c>
    </row>
    <row r="15" spans="3:17" ht="15.5" x14ac:dyDescent="0.35">
      <c r="C15" s="24" t="s">
        <v>8</v>
      </c>
      <c r="D15" s="55">
        <f>'Scaled 2012-13 Data'!F14</f>
        <v>21.491110847137517</v>
      </c>
      <c r="E15" s="56">
        <f>'Scaled 2013-14 Data'!$F14</f>
        <v>20.660378629673406</v>
      </c>
      <c r="F15" s="56">
        <f>'Scaled 2014-15 Data'!$F14</f>
        <v>22.689049401236158</v>
      </c>
      <c r="G15" s="56">
        <f>'Scaled 2015-16 Data'!$F14</f>
        <v>20.645371917390143</v>
      </c>
      <c r="H15" s="56">
        <f>'Scaled 2016-17 Data'!$F14</f>
        <v>20.026365851035507</v>
      </c>
      <c r="I15" s="56">
        <f>'Scaled 2017-18 Data'!$F14</f>
        <v>22.176166107367976</v>
      </c>
      <c r="J15" s="56">
        <f ca="1">$I15*('Heavy Bus Supporting Data'!$J43*('Heavy Bus Supporting Data'!J15/'Heavy Bus Supporting Data'!$I15)+(1-'Heavy Bus Supporting Data'!$J43)*('Heavy Bus Supporting Data'!J$28/'Heavy Bus Supporting Data'!$I$28))</f>
        <v>25.958872082680497</v>
      </c>
      <c r="K15" s="56">
        <f ca="1">$I15*('Heavy Bus Supporting Data'!$J43*('Heavy Bus Supporting Data'!K15/'Heavy Bus Supporting Data'!$I15)+(1-'Heavy Bus Supporting Data'!$J43)*('Heavy Bus Supporting Data'!K$28/'Heavy Bus Supporting Data'!$I$28))</f>
        <v>28.875504620328925</v>
      </c>
      <c r="L15" s="56">
        <f ca="1">$I15*('Heavy Bus Supporting Data'!$J43*('Heavy Bus Supporting Data'!L15/'Heavy Bus Supporting Data'!$I15)+(1-'Heavy Bus Supporting Data'!$J43)*('Heavy Bus Supporting Data'!L$28/'Heavy Bus Supporting Data'!$I$28))</f>
        <v>30.93119566903755</v>
      </c>
      <c r="M15" s="56">
        <f ca="1">$I15*('Heavy Bus Supporting Data'!$J43*('Heavy Bus Supporting Data'!M15/'Heavy Bus Supporting Data'!$I15)+(1-'Heavy Bus Supporting Data'!$J43)*('Heavy Bus Supporting Data'!M$28/'Heavy Bus Supporting Data'!$I$28))</f>
        <v>33.229608869552251</v>
      </c>
      <c r="N15" s="56">
        <f ca="1">$I15*('Heavy Bus Supporting Data'!$J43*('Heavy Bus Supporting Data'!N15/'Heavy Bus Supporting Data'!$I15)+(1-'Heavy Bus Supporting Data'!$J43)*('Heavy Bus Supporting Data'!N$28/'Heavy Bus Supporting Data'!$I$28))</f>
        <v>35.79176664715046</v>
      </c>
      <c r="O15" s="56">
        <f ca="1">$I15*('Heavy Bus Supporting Data'!$J43*('Heavy Bus Supporting Data'!O15/'Heavy Bus Supporting Data'!$I15)+(1-'Heavy Bus Supporting Data'!$J43)*('Heavy Bus Supporting Data'!O$28/'Heavy Bus Supporting Data'!$I$28))</f>
        <v>38.927335899889236</v>
      </c>
      <c r="P15" s="56">
        <f ca="1">$I15*('Heavy Bus Supporting Data'!$J43*('Heavy Bus Supporting Data'!P15/'Heavy Bus Supporting Data'!$I15)+(1-'Heavy Bus Supporting Data'!$J43)*('Heavy Bus Supporting Data'!P$28/'Heavy Bus Supporting Data'!$I$28))</f>
        <v>42.460492245830906</v>
      </c>
      <c r="Q15" s="57">
        <f ca="1">$I15*('Heavy Bus Supporting Data'!$J43*('Heavy Bus Supporting Data'!Q15/'Heavy Bus Supporting Data'!$I15)+(1-'Heavy Bus Supporting Data'!$J43)*('Heavy Bus Supporting Data'!Q$28/'Heavy Bus Supporting Data'!$I$28))</f>
        <v>46.452089051519451</v>
      </c>
    </row>
    <row r="16" spans="3:17" ht="15.5" x14ac:dyDescent="0.35">
      <c r="C16" s="24" t="s">
        <v>9</v>
      </c>
      <c r="D16" s="55">
        <f>'Scaled 2012-13 Data'!F15</f>
        <v>5.9713503082580308</v>
      </c>
      <c r="E16" s="56">
        <f>'Scaled 2013-14 Data'!$F15</f>
        <v>6.5118389653351718</v>
      </c>
      <c r="F16" s="56">
        <f>'Scaled 2014-15 Data'!$F15</f>
        <v>6.4734157441534528</v>
      </c>
      <c r="G16" s="56">
        <f>'Scaled 2015-16 Data'!$F15</f>
        <v>6.9079231858956813</v>
      </c>
      <c r="H16" s="56">
        <f>'Scaled 2016-17 Data'!$F15</f>
        <v>6.7725013683992685</v>
      </c>
      <c r="I16" s="56">
        <f>'Scaled 2017-18 Data'!$F15</f>
        <v>7.1968530543176366</v>
      </c>
      <c r="J16" s="56">
        <f ca="1">$I16*('Heavy Bus Supporting Data'!$J44*('Heavy Bus Supporting Data'!J16/'Heavy Bus Supporting Data'!$I16)+(1-'Heavy Bus Supporting Data'!$J44)*('Heavy Bus Supporting Data'!J$28/'Heavy Bus Supporting Data'!$I$28))</f>
        <v>8.3246953264381691</v>
      </c>
      <c r="K16" s="56">
        <f ca="1">$I16*('Heavy Bus Supporting Data'!$J44*('Heavy Bus Supporting Data'!K16/'Heavy Bus Supporting Data'!$I16)+(1-'Heavy Bus Supporting Data'!$J44)*('Heavy Bus Supporting Data'!K$28/'Heavy Bus Supporting Data'!$I$28))</f>
        <v>9.3080367995010924</v>
      </c>
      <c r="L16" s="56">
        <f ca="1">$I16*('Heavy Bus Supporting Data'!$J44*('Heavy Bus Supporting Data'!L16/'Heavy Bus Supporting Data'!$I16)+(1-'Heavy Bus Supporting Data'!$J44)*('Heavy Bus Supporting Data'!L$28/'Heavy Bus Supporting Data'!$I$28))</f>
        <v>10.252806220625647</v>
      </c>
      <c r="M16" s="56">
        <f ca="1">$I16*('Heavy Bus Supporting Data'!$J44*('Heavy Bus Supporting Data'!M16/'Heavy Bus Supporting Data'!$I16)+(1-'Heavy Bus Supporting Data'!$J44)*('Heavy Bus Supporting Data'!M$28/'Heavy Bus Supporting Data'!$I$28))</f>
        <v>11.391017396245411</v>
      </c>
      <c r="N16" s="56">
        <f ca="1">$I16*('Heavy Bus Supporting Data'!$J44*('Heavy Bus Supporting Data'!N16/'Heavy Bus Supporting Data'!$I16)+(1-'Heavy Bus Supporting Data'!$J44)*('Heavy Bus Supporting Data'!N$28/'Heavy Bus Supporting Data'!$I$28))</f>
        <v>12.712188816978765</v>
      </c>
      <c r="O16" s="56">
        <f ca="1">$I16*('Heavy Bus Supporting Data'!$J44*('Heavy Bus Supporting Data'!O16/'Heavy Bus Supporting Data'!$I16)+(1-'Heavy Bus Supporting Data'!$J44)*('Heavy Bus Supporting Data'!O$28/'Heavy Bus Supporting Data'!$I$28))</f>
        <v>14.352068498473004</v>
      </c>
      <c r="P16" s="56">
        <f ca="1">$I16*('Heavy Bus Supporting Data'!$J44*('Heavy Bus Supporting Data'!P16/'Heavy Bus Supporting Data'!$I16)+(1-'Heavy Bus Supporting Data'!$J44)*('Heavy Bus Supporting Data'!P$28/'Heavy Bus Supporting Data'!$I$28))</f>
        <v>16.2455168355891</v>
      </c>
      <c r="Q16" s="57">
        <f ca="1">$I16*('Heavy Bus Supporting Data'!$J44*('Heavy Bus Supporting Data'!Q16/'Heavy Bus Supporting Data'!$I16)+(1-'Heavy Bus Supporting Data'!$J44)*('Heavy Bus Supporting Data'!Q$28/'Heavy Bus Supporting Data'!$I$28))</f>
        <v>18.436694113916836</v>
      </c>
    </row>
    <row r="17" spans="3:17" ht="15.5" x14ac:dyDescent="0.35">
      <c r="C17" s="24" t="s">
        <v>10</v>
      </c>
      <c r="D17" s="55">
        <f>'Scaled 2012-13 Data'!F16</f>
        <v>3.5994838845999344</v>
      </c>
      <c r="E17" s="56">
        <f>'Scaled 2013-14 Data'!$F16</f>
        <v>3.3064430965177922</v>
      </c>
      <c r="F17" s="56">
        <f>'Scaled 2014-15 Data'!$F16</f>
        <v>3.8237875581235587</v>
      </c>
      <c r="G17" s="56">
        <f>'Scaled 2015-16 Data'!$F16</f>
        <v>3.2933402565423875</v>
      </c>
      <c r="H17" s="56">
        <f>'Scaled 2016-17 Data'!$F16</f>
        <v>2.9532775649776024</v>
      </c>
      <c r="I17" s="56">
        <f>'Scaled 2017-18 Data'!$F16</f>
        <v>3.1258663149864989</v>
      </c>
      <c r="J17" s="56">
        <f ca="1">$I17*('Heavy Bus Supporting Data'!$J45*('Heavy Bus Supporting Data'!J17/'Heavy Bus Supporting Data'!$I17)+(1-'Heavy Bus Supporting Data'!$J45)*('Heavy Bus Supporting Data'!J$28/'Heavy Bus Supporting Data'!$I$28))</f>
        <v>3.753779161541595</v>
      </c>
      <c r="K17" s="56">
        <f ca="1">$I17*('Heavy Bus Supporting Data'!$J45*('Heavy Bus Supporting Data'!K17/'Heavy Bus Supporting Data'!$I17)+(1-'Heavy Bus Supporting Data'!$J45)*('Heavy Bus Supporting Data'!K$28/'Heavy Bus Supporting Data'!$I$28))</f>
        <v>4.2968682524071165</v>
      </c>
      <c r="L17" s="56">
        <f ca="1">$I17*('Heavy Bus Supporting Data'!$J45*('Heavy Bus Supporting Data'!L17/'Heavy Bus Supporting Data'!$I17)+(1-'Heavy Bus Supporting Data'!$J45)*('Heavy Bus Supporting Data'!L$28/'Heavy Bus Supporting Data'!$I$28))</f>
        <v>4.8352357598886577</v>
      </c>
      <c r="M17" s="56">
        <f ca="1">$I17*('Heavy Bus Supporting Data'!$J45*('Heavy Bus Supporting Data'!M17/'Heavy Bus Supporting Data'!$I17)+(1-'Heavy Bus Supporting Data'!$J45)*('Heavy Bus Supporting Data'!M$28/'Heavy Bus Supporting Data'!$I$28))</f>
        <v>5.4741818530432136</v>
      </c>
      <c r="N17" s="56">
        <f ca="1">$I17*('Heavy Bus Supporting Data'!$J45*('Heavy Bus Supporting Data'!N17/'Heavy Bus Supporting Data'!$I17)+(1-'Heavy Bus Supporting Data'!$J45)*('Heavy Bus Supporting Data'!N$28/'Heavy Bus Supporting Data'!$I$28))</f>
        <v>6.220757926192471</v>
      </c>
      <c r="O17" s="56">
        <f ca="1">$I17*('Heavy Bus Supporting Data'!$J45*('Heavy Bus Supporting Data'!O17/'Heavy Bus Supporting Data'!$I17)+(1-'Heavy Bus Supporting Data'!$J45)*('Heavy Bus Supporting Data'!O$28/'Heavy Bus Supporting Data'!$I$28))</f>
        <v>7.113260641097086</v>
      </c>
      <c r="P17" s="56">
        <f ca="1">$I17*('Heavy Bus Supporting Data'!$J45*('Heavy Bus Supporting Data'!P17/'Heavy Bus Supporting Data'!$I17)+(1-'Heavy Bus Supporting Data'!$J45)*('Heavy Bus Supporting Data'!P$28/'Heavy Bus Supporting Data'!$I$28))</f>
        <v>8.1486664943874025</v>
      </c>
      <c r="Q17" s="57">
        <f ca="1">$I17*('Heavy Bus Supporting Data'!$J45*('Heavy Bus Supporting Data'!Q17/'Heavy Bus Supporting Data'!$I17)+(1-'Heavy Bus Supporting Data'!$J45)*('Heavy Bus Supporting Data'!Q$28/'Heavy Bus Supporting Data'!$I$28))</f>
        <v>9.3505851002024212</v>
      </c>
    </row>
    <row r="18" spans="3:17" ht="15.5" x14ac:dyDescent="0.35">
      <c r="C18" s="24" t="s">
        <v>11</v>
      </c>
      <c r="D18" s="55">
        <f>'Scaled 2012-13 Data'!F17</f>
        <v>41.14957598032106</v>
      </c>
      <c r="E18" s="56">
        <f>'Scaled 2013-14 Data'!$F17</f>
        <v>43.354328716915184</v>
      </c>
      <c r="F18" s="56">
        <f>'Scaled 2014-15 Data'!$F17</f>
        <v>46.0293653129538</v>
      </c>
      <c r="G18" s="56">
        <f>'Scaled 2015-16 Data'!$F17</f>
        <v>51.014889636037587</v>
      </c>
      <c r="H18" s="56">
        <f>'Scaled 2016-17 Data'!$F17</f>
        <v>53.922018565639881</v>
      </c>
      <c r="I18" s="56">
        <f>'Scaled 2017-18 Data'!$F17</f>
        <v>59.147801355373758</v>
      </c>
      <c r="J18" s="56">
        <f ca="1">$I18*('Heavy Bus Supporting Data'!$J46*('Heavy Bus Supporting Data'!J18/'Heavy Bus Supporting Data'!$I18)+(1-'Heavy Bus Supporting Data'!$J46)*('Heavy Bus Supporting Data'!J$28/'Heavy Bus Supporting Data'!$I$28))</f>
        <v>67.168736319588447</v>
      </c>
      <c r="K18" s="56">
        <f ca="1">$I18*('Heavy Bus Supporting Data'!$J46*('Heavy Bus Supporting Data'!K18/'Heavy Bus Supporting Data'!$I18)+(1-'Heavy Bus Supporting Data'!$J46)*('Heavy Bus Supporting Data'!K$28/'Heavy Bus Supporting Data'!$I$28))</f>
        <v>74.37030175350705</v>
      </c>
      <c r="L18" s="56">
        <f ca="1">$I18*('Heavy Bus Supporting Data'!$J46*('Heavy Bus Supporting Data'!L18/'Heavy Bus Supporting Data'!$I18)+(1-'Heavy Bus Supporting Data'!$J46)*('Heavy Bus Supporting Data'!L$28/'Heavy Bus Supporting Data'!$I$28))</f>
        <v>80.962677189775292</v>
      </c>
      <c r="M18" s="56">
        <f ca="1">$I18*('Heavy Bus Supporting Data'!$J46*('Heavy Bus Supporting Data'!M18/'Heavy Bus Supporting Data'!$I18)+(1-'Heavy Bus Supporting Data'!$J46)*('Heavy Bus Supporting Data'!M$28/'Heavy Bus Supporting Data'!$I$28))</f>
        <v>88.638701953976451</v>
      </c>
      <c r="N18" s="56">
        <f ca="1">$I18*('Heavy Bus Supporting Data'!$J46*('Heavy Bus Supporting Data'!N18/'Heavy Bus Supporting Data'!$I18)+(1-'Heavy Bus Supporting Data'!$J46)*('Heavy Bus Supporting Data'!N$28/'Heavy Bus Supporting Data'!$I$28))</f>
        <v>97.515588669095294</v>
      </c>
      <c r="O18" s="56">
        <f ca="1">$I18*('Heavy Bus Supporting Data'!$J46*('Heavy Bus Supporting Data'!O18/'Heavy Bus Supporting Data'!$I18)+(1-'Heavy Bus Supporting Data'!$J46)*('Heavy Bus Supporting Data'!O$28/'Heavy Bus Supporting Data'!$I$28))</f>
        <v>108.66391374228427</v>
      </c>
      <c r="P18" s="56">
        <f ca="1">$I18*('Heavy Bus Supporting Data'!$J46*('Heavy Bus Supporting Data'!P18/'Heavy Bus Supporting Data'!$I18)+(1-'Heavy Bus Supporting Data'!$J46)*('Heavy Bus Supporting Data'!P$28/'Heavy Bus Supporting Data'!$I$28))</f>
        <v>121.58787797150089</v>
      </c>
      <c r="Q18" s="57">
        <f ca="1">$I18*('Heavy Bus Supporting Data'!$J46*('Heavy Bus Supporting Data'!Q18/'Heavy Bus Supporting Data'!$I18)+(1-'Heavy Bus Supporting Data'!$J46)*('Heavy Bus Supporting Data'!Q$28/'Heavy Bus Supporting Data'!$I$28))</f>
        <v>136.57029463961234</v>
      </c>
    </row>
    <row r="19" spans="3:17" ht="15.5" x14ac:dyDescent="0.35">
      <c r="C19" s="24" t="s">
        <v>12</v>
      </c>
      <c r="D19" s="55">
        <f>'Scaled 2012-13 Data'!F18</f>
        <v>18.743958770408213</v>
      </c>
      <c r="E19" s="56">
        <f>'Scaled 2013-14 Data'!$F18</f>
        <v>19.524385446445841</v>
      </c>
      <c r="F19" s="56">
        <f>'Scaled 2014-15 Data'!$F18</f>
        <v>20.014483270765375</v>
      </c>
      <c r="G19" s="56">
        <f>'Scaled 2015-16 Data'!$F18</f>
        <v>19.622089713548924</v>
      </c>
      <c r="H19" s="56">
        <f>'Scaled 2016-17 Data'!$F18</f>
        <v>21.073427945817279</v>
      </c>
      <c r="I19" s="56">
        <f>'Scaled 2017-18 Data'!$F18</f>
        <v>19.331947513340477</v>
      </c>
      <c r="J19" s="56">
        <f ca="1">$I19*('Heavy Bus Supporting Data'!$J47*('Heavy Bus Supporting Data'!J19/'Heavy Bus Supporting Data'!$I19)+(1-'Heavy Bus Supporting Data'!$J47)*('Heavy Bus Supporting Data'!J$28/'Heavy Bus Supporting Data'!$I$28))</f>
        <v>23.284953108114916</v>
      </c>
      <c r="K19" s="56">
        <f ca="1">$I19*('Heavy Bus Supporting Data'!$J47*('Heavy Bus Supporting Data'!K19/'Heavy Bus Supporting Data'!$I19)+(1-'Heavy Bus Supporting Data'!$J47)*('Heavy Bus Supporting Data'!K$28/'Heavy Bus Supporting Data'!$I$28))</f>
        <v>26.667161747626693</v>
      </c>
      <c r="L19" s="56">
        <f ca="1">$I19*('Heavy Bus Supporting Data'!$J47*('Heavy Bus Supporting Data'!L19/'Heavy Bus Supporting Data'!$I19)+(1-'Heavy Bus Supporting Data'!$J47)*('Heavy Bus Supporting Data'!L$28/'Heavy Bus Supporting Data'!$I$28))</f>
        <v>29.975279278206791</v>
      </c>
      <c r="M19" s="56">
        <f ca="1">$I19*('Heavy Bus Supporting Data'!$J47*('Heavy Bus Supporting Data'!M19/'Heavy Bus Supporting Data'!$I19)+(1-'Heavy Bus Supporting Data'!$J47)*('Heavy Bus Supporting Data'!M$28/'Heavy Bus Supporting Data'!$I$28))</f>
        <v>33.868197197323475</v>
      </c>
      <c r="N19" s="56">
        <f ca="1">$I19*('Heavy Bus Supporting Data'!$J47*('Heavy Bus Supporting Data'!N19/'Heavy Bus Supporting Data'!$I19)+(1-'Heavy Bus Supporting Data'!$J47)*('Heavy Bus Supporting Data'!N$28/'Heavy Bus Supporting Data'!$I$28))</f>
        <v>38.363358373911922</v>
      </c>
      <c r="O19" s="56">
        <f ca="1">$I19*('Heavy Bus Supporting Data'!$J47*('Heavy Bus Supporting Data'!O19/'Heavy Bus Supporting Data'!$I19)+(1-'Heavy Bus Supporting Data'!$J47)*('Heavy Bus Supporting Data'!O$28/'Heavy Bus Supporting Data'!$I$28))</f>
        <v>43.786107122090428</v>
      </c>
      <c r="P19" s="56">
        <f ca="1">$I19*('Heavy Bus Supporting Data'!$J47*('Heavy Bus Supporting Data'!P19/'Heavy Bus Supporting Data'!$I19)+(1-'Heavy Bus Supporting Data'!$J47)*('Heavy Bus Supporting Data'!P$28/'Heavy Bus Supporting Data'!$I$28))</f>
        <v>50.033705541262712</v>
      </c>
      <c r="Q19" s="57">
        <f ca="1">$I19*('Heavy Bus Supporting Data'!$J47*('Heavy Bus Supporting Data'!Q19/'Heavy Bus Supporting Data'!$I19)+(1-'Heavy Bus Supporting Data'!$J47)*('Heavy Bus Supporting Data'!Q$28/'Heavy Bus Supporting Data'!$I$28))</f>
        <v>57.244321583331178</v>
      </c>
    </row>
    <row r="20" spans="3:17" ht="16" thickBot="1" x14ac:dyDescent="0.4">
      <c r="C20" s="25" t="s">
        <v>13</v>
      </c>
      <c r="D20" s="58">
        <f>'Scaled 2012-13 Data'!F19</f>
        <v>7.914409359205445</v>
      </c>
      <c r="E20" s="59">
        <f>'Scaled 2013-14 Data'!$F19</f>
        <v>7.5288576503770077</v>
      </c>
      <c r="F20" s="59">
        <f>'Scaled 2014-15 Data'!$F19</f>
        <v>7.4791478762437498</v>
      </c>
      <c r="G20" s="59">
        <f>'Scaled 2015-16 Data'!$F19</f>
        <v>8.9255936143670827</v>
      </c>
      <c r="H20" s="59">
        <f>'Scaled 2016-17 Data'!$F19</f>
        <v>8.4445767328455812</v>
      </c>
      <c r="I20" s="59">
        <f>'Scaled 2017-18 Data'!$F19</f>
        <v>9.0388259168493583</v>
      </c>
      <c r="J20" s="59">
        <f ca="1">$I20*('Heavy Bus Supporting Data'!$J48*('Heavy Bus Supporting Data'!J20/'Heavy Bus Supporting Data'!$I20)+(1-'Heavy Bus Supporting Data'!$J48)*('Heavy Bus Supporting Data'!J$28/'Heavy Bus Supporting Data'!$I$28))</f>
        <v>10.523177878397561</v>
      </c>
      <c r="K20" s="59">
        <f ca="1">$I20*('Heavy Bus Supporting Data'!$J48*('Heavy Bus Supporting Data'!K20/'Heavy Bus Supporting Data'!$I20)+(1-'Heavy Bus Supporting Data'!$J48)*('Heavy Bus Supporting Data'!K$28/'Heavy Bus Supporting Data'!$I$28))</f>
        <v>11.820693764001502</v>
      </c>
      <c r="L20" s="59">
        <f ca="1">$I20*('Heavy Bus Supporting Data'!$J48*('Heavy Bus Supporting Data'!L20/'Heavy Bus Supporting Data'!$I20)+(1-'Heavy Bus Supporting Data'!$J48)*('Heavy Bus Supporting Data'!L$28/'Heavy Bus Supporting Data'!$I$28))</f>
        <v>13.088063340930427</v>
      </c>
      <c r="M20" s="59">
        <f ca="1">$I20*('Heavy Bus Supporting Data'!$J48*('Heavy Bus Supporting Data'!M20/'Heavy Bus Supporting Data'!$I20)+(1-'Heavy Bus Supporting Data'!$J48)*('Heavy Bus Supporting Data'!M$28/'Heavy Bus Supporting Data'!$I$28))</f>
        <v>14.615777303474905</v>
      </c>
      <c r="N20" s="59">
        <f ca="1">$I20*('Heavy Bus Supporting Data'!$J48*('Heavy Bus Supporting Data'!N20/'Heavy Bus Supporting Data'!$I20)+(1-'Heavy Bus Supporting Data'!$J48)*('Heavy Bus Supporting Data'!N$28/'Heavy Bus Supporting Data'!$I$28))</f>
        <v>16.403113870471728</v>
      </c>
      <c r="O20" s="59">
        <f ca="1">$I20*('Heavy Bus Supporting Data'!$J48*('Heavy Bus Supporting Data'!O20/'Heavy Bus Supporting Data'!$I20)+(1-'Heavy Bus Supporting Data'!$J48)*('Heavy Bus Supporting Data'!O$28/'Heavy Bus Supporting Data'!$I$28))</f>
        <v>18.592281914822763</v>
      </c>
      <c r="P20" s="59">
        <f ca="1">$I20*('Heavy Bus Supporting Data'!$J48*('Heavy Bus Supporting Data'!P20/'Heavy Bus Supporting Data'!$I20)+(1-'Heavy Bus Supporting Data'!$J48)*('Heavy Bus Supporting Data'!P$28/'Heavy Bus Supporting Data'!$I$28))</f>
        <v>21.127433623606333</v>
      </c>
      <c r="Q20" s="60">
        <f ca="1">$I20*('Heavy Bus Supporting Data'!$J48*('Heavy Bus Supporting Data'!Q20/'Heavy Bus Supporting Data'!$I20)+(1-'Heavy Bus Supporting Data'!$J48)*('Heavy Bus Supporting Data'!Q$28/'Heavy Bus Supporting Data'!$I$28))</f>
        <v>24.067653155051161</v>
      </c>
    </row>
    <row r="21" spans="3:17" ht="16.5" thickTop="1" thickBot="1" x14ac:dyDescent="0.4">
      <c r="C21" s="31" t="s">
        <v>24</v>
      </c>
      <c r="D21" s="61">
        <f t="shared" ref="D21:N21" si="0">SUM(D7:D20)</f>
        <v>245.25345477429616</v>
      </c>
      <c r="E21" s="62">
        <f t="shared" si="0"/>
        <v>255.49508658811862</v>
      </c>
      <c r="F21" s="62">
        <f t="shared" si="0"/>
        <v>263.52125939693201</v>
      </c>
      <c r="G21" s="62">
        <f t="shared" ref="G21:H21" si="1">SUM(G7:G20)</f>
        <v>272.01059552122399</v>
      </c>
      <c r="H21" s="62">
        <f t="shared" si="1"/>
        <v>285.50486420865337</v>
      </c>
      <c r="I21" s="62">
        <f t="shared" si="0"/>
        <v>301.64908371233633</v>
      </c>
      <c r="J21" s="62">
        <f t="shared" ca="1" si="0"/>
        <v>364.40336373598916</v>
      </c>
      <c r="K21" s="62">
        <f t="shared" ca="1" si="0"/>
        <v>417.92199774216033</v>
      </c>
      <c r="L21" s="62">
        <f t="shared" ca="1" si="0"/>
        <v>461.3271639003629</v>
      </c>
      <c r="M21" s="62">
        <f t="shared" ca="1" si="0"/>
        <v>510.22095322900896</v>
      </c>
      <c r="N21" s="62">
        <f t="shared" ca="1" si="0"/>
        <v>565.17849476988306</v>
      </c>
      <c r="O21" s="62">
        <f t="shared" ref="O21:Q21" ca="1" si="2">SUM(O7:O20)</f>
        <v>634.93971948572357</v>
      </c>
      <c r="P21" s="62">
        <f t="shared" ca="1" si="2"/>
        <v>714.55724259739964</v>
      </c>
      <c r="Q21" s="63">
        <f t="shared" ca="1" si="2"/>
        <v>805.96142641398444</v>
      </c>
    </row>
    <row r="22" spans="3:17" ht="16.5" thickTop="1" thickBot="1" x14ac:dyDescent="0.4">
      <c r="C22" s="31" t="s">
        <v>96</v>
      </c>
      <c r="D22" s="61">
        <f>'Scaled 2012-13 Data'!$F21</f>
        <v>245.25345477429616</v>
      </c>
      <c r="E22" s="62">
        <f>'Scaled 2013-14 Data'!$F21</f>
        <v>255.49508658811862</v>
      </c>
      <c r="F22" s="62">
        <f>'Scaled 2014-15 Data'!$F21</f>
        <v>263.52125939693201</v>
      </c>
      <c r="G22" s="62">
        <f>'Scaled 2015-16 Data'!$F21</f>
        <v>272.01059552122399</v>
      </c>
      <c r="H22" s="62">
        <f>'Scaled 2016-17 Data'!$F21</f>
        <v>285.50486420865337</v>
      </c>
      <c r="I22" s="62">
        <f>'Scaled 2017-18 Data'!$F21</f>
        <v>301.64908371233633</v>
      </c>
      <c r="J22" s="62"/>
      <c r="K22" s="62"/>
      <c r="L22" s="62"/>
      <c r="M22" s="62"/>
      <c r="N22" s="62"/>
      <c r="O22" s="62"/>
      <c r="P22" s="62"/>
      <c r="Q22" s="63"/>
    </row>
    <row r="23" spans="3:17" ht="13" thickTop="1" x14ac:dyDescent="0.25"/>
    <row r="24" spans="3:17" ht="13" thickBot="1" x14ac:dyDescent="0.3"/>
    <row r="25" spans="3:17" ht="16" thickTop="1" x14ac:dyDescent="0.35">
      <c r="C25" s="32" t="s">
        <v>55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37" t="s">
        <v>37</v>
      </c>
      <c r="F26" s="37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</row>
    <row r="27" spans="3:17" ht="14" thickTop="1" thickBot="1" x14ac:dyDescent="0.3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16.5" thickTop="1" thickBot="1" x14ac:dyDescent="0.4">
      <c r="C28" s="20" t="s">
        <v>24</v>
      </c>
      <c r="D28" s="48">
        <f>'Heavy Bus Supporting Data'!D63</f>
        <v>8974</v>
      </c>
      <c r="E28" s="48">
        <f>'Heavy Bus Supporting Data'!E63</f>
        <v>9253</v>
      </c>
      <c r="F28" s="48">
        <f>'Heavy Bus Supporting Data'!F63</f>
        <v>9440</v>
      </c>
      <c r="G28" s="48">
        <f>'Heavy Bus Supporting Data'!G63</f>
        <v>9791</v>
      </c>
      <c r="H28" s="48">
        <f>'Heavy Bus Supporting Data'!H63</f>
        <v>10339</v>
      </c>
      <c r="I28" s="48">
        <f>'Heavy Bus Supporting Data'!I63</f>
        <v>10953</v>
      </c>
      <c r="J28" s="48">
        <f ca="1">$I28*('Heavy Bus Supporting Data'!$J49*('Heavy Bus Supporting Data'!J21/'Heavy Bus Supporting Data'!$I21)+(1-'Heavy Bus Supporting Data'!$J49)*('Heavy Bus Supporting Data'!J$28/'Heavy Bus Supporting Data'!$I$28))</f>
        <v>13258.047053892367</v>
      </c>
      <c r="K28" s="48">
        <f ca="1">$I28*('Heavy Bus Supporting Data'!$J49*('Heavy Bus Supporting Data'!K21/'Heavy Bus Supporting Data'!$I21)+(1-'Heavy Bus Supporting Data'!$J49)*('Heavy Bus Supporting Data'!K$28/'Heavy Bus Supporting Data'!$I$28))</f>
        <v>15215.203919635012</v>
      </c>
      <c r="L28" s="48">
        <f ca="1">$I28*('Heavy Bus Supporting Data'!$J49*('Heavy Bus Supporting Data'!L21/'Heavy Bus Supporting Data'!$I21)+(1-'Heavy Bus Supporting Data'!$J49)*('Heavy Bus Supporting Data'!L$28/'Heavy Bus Supporting Data'!$I$28))</f>
        <v>16761.922072046862</v>
      </c>
      <c r="M28" s="48">
        <f ca="1">$I28*('Heavy Bus Supporting Data'!$J49*('Heavy Bus Supporting Data'!M21/'Heavy Bus Supporting Data'!$I21)+(1-'Heavy Bus Supporting Data'!$J49)*('Heavy Bus Supporting Data'!M$28/'Heavy Bus Supporting Data'!$I$28))</f>
        <v>18494.218733369715</v>
      </c>
      <c r="N28" s="48">
        <f ca="1">$I28*('Heavy Bus Supporting Data'!$J49*('Heavy Bus Supporting Data'!N21/'Heavy Bus Supporting Data'!$I21)+(1-'Heavy Bus Supporting Data'!$J49)*('Heavy Bus Supporting Data'!N$28/'Heavy Bus Supporting Data'!$I$28))</f>
        <v>20432.080973167649</v>
      </c>
      <c r="O28" s="48">
        <f ca="1">$I28*('Heavy Bus Supporting Data'!$J49*('Heavy Bus Supporting Data'!O21/'Heavy Bus Supporting Data'!$I21)+(1-'Heavy Bus Supporting Data'!$J49)*('Heavy Bus Supporting Data'!O$28/'Heavy Bus Supporting Data'!$I$28))</f>
        <v>22909.814722984549</v>
      </c>
      <c r="P28" s="48">
        <f ca="1">$I28*('Heavy Bus Supporting Data'!$J49*('Heavy Bus Supporting Data'!P21/'Heavy Bus Supporting Data'!$I21)+(1-'Heavy Bus Supporting Data'!$J49)*('Heavy Bus Supporting Data'!P$28/'Heavy Bus Supporting Data'!$I$28))</f>
        <v>25731.116415883473</v>
      </c>
      <c r="Q28" s="48">
        <f ca="1">$I28*('Heavy Bus Supporting Data'!$J49*('Heavy Bus Supporting Data'!Q21/'Heavy Bus Supporting Data'!$I21)+(1-'Heavy Bus Supporting Data'!$J49)*('Heavy Bus Supporting Data'!Q$28/'Heavy Bus Supporting Data'!$I$28))</f>
        <v>28965.111251481965</v>
      </c>
    </row>
    <row r="29" spans="3:17" ht="13" thickTop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C3:Q44"/>
  <sheetViews>
    <sheetView zoomScale="90" zoomScaleNormal="90" workbookViewId="0">
      <selection activeCell="M49" sqref="M49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57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39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'Scaled 2012-13 Data'!$G6</f>
        <v>12.256338036699967</v>
      </c>
      <c r="E7" s="53">
        <f>'Scaled 2013-14 Data'!$G6</f>
        <v>13.263818395435685</v>
      </c>
      <c r="F7" s="53">
        <f>'Scaled 2014-15 Data'!$G6</f>
        <v>13.485359116357262</v>
      </c>
      <c r="G7" s="53">
        <f>'Scaled 2015-16 Data'!$G6</f>
        <v>14.484052275603073</v>
      </c>
      <c r="H7" s="53">
        <f>'Scaled 2016-17 Data'!$G6</f>
        <v>13.936503563654707</v>
      </c>
      <c r="I7" s="53">
        <f>'Scaled 2017-18 Data'!$G6</f>
        <v>14.401596932513305</v>
      </c>
      <c r="J7" s="53">
        <f ca="1">$I7*('Motorcycle Supporting Data'!J7/'Motorcycle Supporting Data'!$I7)</f>
        <v>15.129911641712745</v>
      </c>
      <c r="K7" s="53">
        <f ca="1">$I7*('Motorcycle Supporting Data'!K7/'Motorcycle Supporting Data'!$I7)</f>
        <v>15.522645358486598</v>
      </c>
      <c r="L7" s="53">
        <f ca="1">$I7*('Motorcycle Supporting Data'!L7/'Motorcycle Supporting Data'!$I7)</f>
        <v>15.718774242681645</v>
      </c>
      <c r="M7" s="53">
        <f ca="1">$I7*('Motorcycle Supporting Data'!M7/'Motorcycle Supporting Data'!$I7)</f>
        <v>15.610753426362374</v>
      </c>
      <c r="N7" s="53">
        <f ca="1">$I7*('Motorcycle Supporting Data'!N7/'Motorcycle Supporting Data'!$I7)</f>
        <v>15.399830559200268</v>
      </c>
      <c r="O7" s="53">
        <f ca="1">$I7*('Motorcycle Supporting Data'!O7/'Motorcycle Supporting Data'!$I7)</f>
        <v>15.712509651758424</v>
      </c>
      <c r="P7" s="53">
        <f ca="1">$I7*('Motorcycle Supporting Data'!P7/'Motorcycle Supporting Data'!$I7)</f>
        <v>15.987588802851667</v>
      </c>
      <c r="Q7" s="54">
        <f ca="1">$I7*('Motorcycle Supporting Data'!Q7/'Motorcycle Supporting Data'!$I7)</f>
        <v>16.239792049979688</v>
      </c>
    </row>
    <row r="8" spans="3:17" ht="15.5" x14ac:dyDescent="0.35">
      <c r="C8" s="24" t="s">
        <v>1</v>
      </c>
      <c r="D8" s="55">
        <f>'Scaled 2012-13 Data'!$G7</f>
        <v>97.291044179389033</v>
      </c>
      <c r="E8" s="56">
        <f>'Scaled 2013-14 Data'!$G7</f>
        <v>100.28100737595719</v>
      </c>
      <c r="F8" s="56">
        <f>'Scaled 2014-15 Data'!$G7</f>
        <v>101.69226394154018</v>
      </c>
      <c r="G8" s="56">
        <f>'Scaled 2015-16 Data'!$G7</f>
        <v>103.92799966050693</v>
      </c>
      <c r="H8" s="56">
        <f>'Scaled 2016-17 Data'!$G7</f>
        <v>104.47605597583795</v>
      </c>
      <c r="I8" s="56">
        <f>'Scaled 2017-18 Data'!$G7</f>
        <v>99.175813276426354</v>
      </c>
      <c r="J8" s="56">
        <f ca="1">$I8*('Motorcycle Supporting Data'!J8/'Motorcycle Supporting Data'!$I8)</f>
        <v>106.40529557680085</v>
      </c>
      <c r="K8" s="56">
        <f ca="1">$I8*('Motorcycle Supporting Data'!K8/'Motorcycle Supporting Data'!$I8)</f>
        <v>110.98801216948036</v>
      </c>
      <c r="L8" s="56">
        <f ca="1">$I8*('Motorcycle Supporting Data'!L8/'Motorcycle Supporting Data'!$I8)</f>
        <v>114.41828420091848</v>
      </c>
      <c r="M8" s="56">
        <f ca="1">$I8*('Motorcycle Supporting Data'!M8/'Motorcycle Supporting Data'!$I8)</f>
        <v>115.68777268985971</v>
      </c>
      <c r="N8" s="56">
        <f ca="1">$I8*('Motorcycle Supporting Data'!N8/'Motorcycle Supporting Data'!$I8)</f>
        <v>116.29978999029815</v>
      </c>
      <c r="O8" s="56">
        <f ca="1">$I8*('Motorcycle Supporting Data'!O8/'Motorcycle Supporting Data'!$I8)</f>
        <v>120.90254602666377</v>
      </c>
      <c r="P8" s="56">
        <f ca="1">$I8*('Motorcycle Supporting Data'!P8/'Motorcycle Supporting Data'!$I8)</f>
        <v>125.32045800618894</v>
      </c>
      <c r="Q8" s="57">
        <f ca="1">$I8*('Motorcycle Supporting Data'!Q8/'Motorcycle Supporting Data'!$I8)</f>
        <v>129.65390871100044</v>
      </c>
    </row>
    <row r="9" spans="3:17" ht="15.5" x14ac:dyDescent="0.35">
      <c r="C9" s="24" t="s">
        <v>2</v>
      </c>
      <c r="D9" s="55">
        <f>'Scaled 2012-13 Data'!$G8</f>
        <v>46.908260132153586</v>
      </c>
      <c r="E9" s="56">
        <f>'Scaled 2013-14 Data'!$G8</f>
        <v>47.513629797834014</v>
      </c>
      <c r="F9" s="56">
        <f>'Scaled 2014-15 Data'!$G8</f>
        <v>47.636998519517796</v>
      </c>
      <c r="G9" s="56">
        <f>'Scaled 2015-16 Data'!$G8</f>
        <v>49.388635650559948</v>
      </c>
      <c r="H9" s="56">
        <f>'Scaled 2016-17 Data'!$G8</f>
        <v>50.55125646295086</v>
      </c>
      <c r="I9" s="56">
        <f>'Scaled 2017-18 Data'!$G8</f>
        <v>53.250336718380645</v>
      </c>
      <c r="J9" s="56">
        <f ca="1">$I9*('Motorcycle Supporting Data'!J9/'Motorcycle Supporting Data'!$I9)</f>
        <v>56.097655071946008</v>
      </c>
      <c r="K9" s="56">
        <f ca="1">$I9*('Motorcycle Supporting Data'!K9/'Motorcycle Supporting Data'!$I9)</f>
        <v>57.66693199408374</v>
      </c>
      <c r="L9" s="56">
        <f ca="1">$I9*('Motorcycle Supporting Data'!L9/'Motorcycle Supporting Data'!$I9)</f>
        <v>58.559230005709033</v>
      </c>
      <c r="M9" s="56">
        <f ca="1">$I9*('Motorcycle Supporting Data'!M9/'Motorcycle Supporting Data'!$I9)</f>
        <v>58.310043560477872</v>
      </c>
      <c r="N9" s="56">
        <f ca="1">$I9*('Motorcycle Supporting Data'!N9/'Motorcycle Supporting Data'!$I9)</f>
        <v>57.715041980057023</v>
      </c>
      <c r="O9" s="56">
        <f ca="1">$I9*('Motorcycle Supporting Data'!O9/'Motorcycle Supporting Data'!$I9)</f>
        <v>59.056936374422939</v>
      </c>
      <c r="P9" s="56">
        <f ca="1">$I9*('Motorcycle Supporting Data'!P9/'Motorcycle Supporting Data'!$I9)</f>
        <v>60.235790275593871</v>
      </c>
      <c r="Q9" s="57">
        <f ca="1">$I9*('Motorcycle Supporting Data'!Q9/'Motorcycle Supporting Data'!$I9)</f>
        <v>61.303849778608672</v>
      </c>
    </row>
    <row r="10" spans="3:17" ht="15.5" x14ac:dyDescent="0.35">
      <c r="C10" s="24" t="s">
        <v>3</v>
      </c>
      <c r="D10" s="55">
        <f>'Scaled 2012-13 Data'!$G9</f>
        <v>25.767043995276101</v>
      </c>
      <c r="E10" s="56">
        <f>'Scaled 2013-14 Data'!$G9</f>
        <v>27.192047927332954</v>
      </c>
      <c r="F10" s="56">
        <f>'Scaled 2014-15 Data'!$G9</f>
        <v>26.84427444526807</v>
      </c>
      <c r="G10" s="56">
        <f>'Scaled 2015-16 Data'!$G9</f>
        <v>27.791948080932613</v>
      </c>
      <c r="H10" s="56">
        <f>'Scaled 2016-17 Data'!$G9</f>
        <v>29.937966164015663</v>
      </c>
      <c r="I10" s="56">
        <f>'Scaled 2017-18 Data'!$G9</f>
        <v>30.655370791123211</v>
      </c>
      <c r="J10" s="56">
        <f ca="1">$I10*('Motorcycle Supporting Data'!J10/'Motorcycle Supporting Data'!$I10)</f>
        <v>32.005456791695927</v>
      </c>
      <c r="K10" s="56">
        <f ca="1">$I10*('Motorcycle Supporting Data'!K10/'Motorcycle Supporting Data'!$I10)</f>
        <v>32.658847026828674</v>
      </c>
      <c r="L10" s="56">
        <f ca="1">$I10*('Motorcycle Supporting Data'!L10/'Motorcycle Supporting Data'!$I10)</f>
        <v>32.923879627442084</v>
      </c>
      <c r="M10" s="56">
        <f ca="1">$I10*('Motorcycle Supporting Data'!M10/'Motorcycle Supporting Data'!$I10)</f>
        <v>32.53846933060526</v>
      </c>
      <c r="N10" s="56">
        <f ca="1">$I10*('Motorcycle Supporting Data'!N10/'Motorcycle Supporting Data'!$I10)</f>
        <v>31.970440699809</v>
      </c>
      <c r="O10" s="56">
        <f ca="1">$I10*('Motorcycle Supporting Data'!O10/'Motorcycle Supporting Data'!$I10)</f>
        <v>32.47231977250911</v>
      </c>
      <c r="P10" s="56">
        <f ca="1">$I10*('Motorcycle Supporting Data'!P10/'Motorcycle Supporting Data'!$I10)</f>
        <v>32.874256833711911</v>
      </c>
      <c r="Q10" s="57">
        <f ca="1">$I10*('Motorcycle Supporting Data'!Q10/'Motorcycle Supporting Data'!$I10)</f>
        <v>33.206514483816264</v>
      </c>
    </row>
    <row r="11" spans="3:17" ht="15.5" x14ac:dyDescent="0.35">
      <c r="C11" s="24" t="s">
        <v>4</v>
      </c>
      <c r="D11" s="55">
        <f>'Scaled 2012-13 Data'!$G10</f>
        <v>2.7884785044479377</v>
      </c>
      <c r="E11" s="56">
        <f>'Scaled 2013-14 Data'!$G10</f>
        <v>2.7601540462194354</v>
      </c>
      <c r="F11" s="56">
        <f>'Scaled 2014-15 Data'!$G10</f>
        <v>2.908456882893673</v>
      </c>
      <c r="G11" s="56">
        <f>'Scaled 2015-16 Data'!$G10</f>
        <v>3.0386461481188856</v>
      </c>
      <c r="H11" s="56">
        <f>'Scaled 2016-17 Data'!$G10</f>
        <v>3.1917678125708666</v>
      </c>
      <c r="I11" s="56">
        <f>'Scaled 2017-18 Data'!$G10</f>
        <v>3.3228252495464452</v>
      </c>
      <c r="J11" s="56">
        <f ca="1">$I11*('Motorcycle Supporting Data'!J11/'Motorcycle Supporting Data'!$I11)</f>
        <v>3.3825563136013148</v>
      </c>
      <c r="K11" s="56">
        <f ca="1">$I11*('Motorcycle Supporting Data'!K11/'Motorcycle Supporting Data'!$I11)</f>
        <v>3.3842927581668052</v>
      </c>
      <c r="L11" s="56">
        <f ca="1">$I11*('Motorcycle Supporting Data'!L11/'Motorcycle Supporting Data'!$I11)</f>
        <v>3.3481720949279867</v>
      </c>
      <c r="M11" s="56">
        <f ca="1">$I11*('Motorcycle Supporting Data'!M11/'Motorcycle Supporting Data'!$I11)</f>
        <v>3.2450427431116284</v>
      </c>
      <c r="N11" s="56">
        <f ca="1">$I11*('Motorcycle Supporting Data'!N11/'Motorcycle Supporting Data'!$I11)</f>
        <v>3.1290650389124099</v>
      </c>
      <c r="O11" s="56">
        <f ca="1">$I11*('Motorcycle Supporting Data'!O11/'Motorcycle Supporting Data'!$I11)</f>
        <v>3.1194317041820838</v>
      </c>
      <c r="P11" s="56">
        <f ca="1">$I11*('Motorcycle Supporting Data'!P11/'Motorcycle Supporting Data'!$I11)</f>
        <v>3.10005936424673</v>
      </c>
      <c r="Q11" s="57">
        <f ca="1">$I11*('Motorcycle Supporting Data'!Q11/'Motorcycle Supporting Data'!$I11)</f>
        <v>3.0743068328437557</v>
      </c>
    </row>
    <row r="12" spans="3:17" ht="15.5" x14ac:dyDescent="0.35">
      <c r="C12" s="24" t="s">
        <v>5</v>
      </c>
      <c r="D12" s="55">
        <f>'Scaled 2012-13 Data'!$G11</f>
        <v>13.396909433695859</v>
      </c>
      <c r="E12" s="56">
        <f>'Scaled 2013-14 Data'!$G11</f>
        <v>12.994284016766002</v>
      </c>
      <c r="F12" s="56">
        <f>'Scaled 2014-15 Data'!$G11</f>
        <v>13.325722064347435</v>
      </c>
      <c r="G12" s="56">
        <f>'Scaled 2015-16 Data'!$G11</f>
        <v>13.926317234083857</v>
      </c>
      <c r="H12" s="56">
        <f>'Scaled 2016-17 Data'!$G11</f>
        <v>13.680742605734771</v>
      </c>
      <c r="I12" s="56">
        <f>'Scaled 2017-18 Data'!$G11</f>
        <v>14.299886207325903</v>
      </c>
      <c r="J12" s="56">
        <f ca="1">$I12*('Motorcycle Supporting Data'!J12/'Motorcycle Supporting Data'!$I12)</f>
        <v>14.921556199535878</v>
      </c>
      <c r="K12" s="56">
        <f ca="1">$I12*('Motorcycle Supporting Data'!K12/'Motorcycle Supporting Data'!$I12)</f>
        <v>15.229604125979449</v>
      </c>
      <c r="L12" s="56">
        <f ca="1">$I12*('Motorcycle Supporting Data'!L12/'Motorcycle Supporting Data'!$I12)</f>
        <v>15.359429162334251</v>
      </c>
      <c r="M12" s="56">
        <f ca="1">$I12*('Motorcycle Supporting Data'!M12/'Motorcycle Supporting Data'!$I12)</f>
        <v>15.19983830687193</v>
      </c>
      <c r="N12" s="56">
        <f ca="1">$I12*('Motorcycle Supporting Data'!N12/'Motorcycle Supporting Data'!$I12)</f>
        <v>14.970758025726337</v>
      </c>
      <c r="O12" s="56">
        <f ca="1">$I12*('Motorcycle Supporting Data'!O12/'Motorcycle Supporting Data'!$I12)</f>
        <v>15.253936405627963</v>
      </c>
      <c r="P12" s="56">
        <f ca="1">$I12*('Motorcycle Supporting Data'!P12/'Motorcycle Supporting Data'!$I12)</f>
        <v>15.503228545547282</v>
      </c>
      <c r="Q12" s="57">
        <f ca="1">$I12*('Motorcycle Supporting Data'!Q12/'Motorcycle Supporting Data'!$I12)</f>
        <v>15.733125471417768</v>
      </c>
    </row>
    <row r="13" spans="3:17" ht="15.5" x14ac:dyDescent="0.35">
      <c r="C13" s="24" t="s">
        <v>6</v>
      </c>
      <c r="D13" s="55">
        <f>'Scaled 2012-13 Data'!$G12</f>
        <v>12.428778271332048</v>
      </c>
      <c r="E13" s="56">
        <f>'Scaled 2013-14 Data'!$G12</f>
        <v>12.528740840905686</v>
      </c>
      <c r="F13" s="56">
        <f>'Scaled 2014-15 Data'!$G12</f>
        <v>12.593895910580988</v>
      </c>
      <c r="G13" s="56">
        <f>'Scaled 2015-16 Data'!$G12</f>
        <v>13.49188249984538</v>
      </c>
      <c r="H13" s="56">
        <f>'Scaled 2016-17 Data'!$G12</f>
        <v>13.001290265147537</v>
      </c>
      <c r="I13" s="56">
        <f>'Scaled 2017-18 Data'!$G12</f>
        <v>13.307284785148687</v>
      </c>
      <c r="J13" s="56">
        <f ca="1">$I13*('Motorcycle Supporting Data'!J13/'Motorcycle Supporting Data'!$I13)</f>
        <v>14.002782400463763</v>
      </c>
      <c r="K13" s="56">
        <f ca="1">$I13*('Motorcycle Supporting Data'!K13/'Motorcycle Supporting Data'!$I13)</f>
        <v>14.39552428011627</v>
      </c>
      <c r="L13" s="56">
        <f ca="1">$I13*('Motorcycle Supporting Data'!L13/'Motorcycle Supporting Data'!$I13)</f>
        <v>14.639256767089659</v>
      </c>
      <c r="M13" s="56">
        <f ca="1">$I13*('Motorcycle Supporting Data'!M13/'Motorcycle Supporting Data'!$I13)</f>
        <v>14.613600527580099</v>
      </c>
      <c r="N13" s="56">
        <f ca="1">$I13*('Motorcycle Supporting Data'!N13/'Motorcycle Supporting Data'!$I13)</f>
        <v>14.517555386975049</v>
      </c>
      <c r="O13" s="56">
        <f ca="1">$I13*('Motorcycle Supporting Data'!O13/'Motorcycle Supporting Data'!$I13)</f>
        <v>14.917026792649384</v>
      </c>
      <c r="P13" s="56">
        <f ca="1">$I13*('Motorcycle Supporting Data'!P13/'Motorcycle Supporting Data'!$I13)</f>
        <v>15.285901099506058</v>
      </c>
      <c r="Q13" s="57">
        <f ca="1">$I13*('Motorcycle Supporting Data'!Q13/'Motorcycle Supporting Data'!$I13)</f>
        <v>15.637569492605</v>
      </c>
    </row>
    <row r="14" spans="3:17" ht="15.5" x14ac:dyDescent="0.35">
      <c r="C14" s="24" t="s">
        <v>7</v>
      </c>
      <c r="D14" s="55">
        <f>'Scaled 2012-13 Data'!$G13</f>
        <v>25.885007357844472</v>
      </c>
      <c r="E14" s="56">
        <f>'Scaled 2013-14 Data'!$G13</f>
        <v>26.871294941996638</v>
      </c>
      <c r="F14" s="56">
        <f>'Scaled 2014-15 Data'!$G13</f>
        <v>26.744921835507391</v>
      </c>
      <c r="G14" s="56">
        <f>'Scaled 2015-16 Data'!$G13</f>
        <v>29.131111746868683</v>
      </c>
      <c r="H14" s="56">
        <f>'Scaled 2016-17 Data'!$G13</f>
        <v>27.613416852924839</v>
      </c>
      <c r="I14" s="56">
        <f>'Scaled 2017-18 Data'!$G13</f>
        <v>25.889811207649004</v>
      </c>
      <c r="J14" s="56">
        <f ca="1">$I14*('Motorcycle Supporting Data'!J14/'Motorcycle Supporting Data'!$I14)</f>
        <v>26.689677096511073</v>
      </c>
      <c r="K14" s="56">
        <f ca="1">$I14*('Motorcycle Supporting Data'!K14/'Motorcycle Supporting Data'!$I14)</f>
        <v>26.966740732024956</v>
      </c>
      <c r="L14" s="56">
        <f ca="1">$I14*('Motorcycle Supporting Data'!L14/'Motorcycle Supporting Data'!$I14)</f>
        <v>26.927300689444934</v>
      </c>
      <c r="M14" s="56">
        <f ca="1">$I14*('Motorcycle Supporting Data'!M14/'Motorcycle Supporting Data'!$I14)</f>
        <v>26.382131421614666</v>
      </c>
      <c r="N14" s="56">
        <f ca="1">$I14*('Motorcycle Supporting Data'!N14/'Motorcycle Supporting Data'!$I14)</f>
        <v>25.694873674901828</v>
      </c>
      <c r="O14" s="56">
        <f ca="1">$I14*('Motorcycle Supporting Data'!O14/'Motorcycle Supporting Data'!$I14)</f>
        <v>25.887150434042102</v>
      </c>
      <c r="P14" s="56">
        <f ca="1">$I14*('Motorcycle Supporting Data'!P14/'Motorcycle Supporting Data'!$I14)</f>
        <v>26.013488005908037</v>
      </c>
      <c r="Q14" s="57">
        <f ca="1">$I14*('Motorcycle Supporting Data'!Q14/'Motorcycle Supporting Data'!$I14)</f>
        <v>26.100391409593886</v>
      </c>
    </row>
    <row r="15" spans="3:17" ht="15.5" x14ac:dyDescent="0.35">
      <c r="C15" s="24" t="s">
        <v>8</v>
      </c>
      <c r="D15" s="55">
        <f>'Scaled 2012-13 Data'!$G14</f>
        <v>43.463206269811508</v>
      </c>
      <c r="E15" s="56">
        <f>'Scaled 2013-14 Data'!$G14</f>
        <v>44.104188811135614</v>
      </c>
      <c r="F15" s="56">
        <f>'Scaled 2014-15 Data'!$G14</f>
        <v>46.803830474764027</v>
      </c>
      <c r="G15" s="56">
        <f>'Scaled 2015-16 Data'!$G14</f>
        <v>46.039760747989206</v>
      </c>
      <c r="H15" s="56">
        <f>'Scaled 2016-17 Data'!$G14</f>
        <v>44.380055634303879</v>
      </c>
      <c r="I15" s="56">
        <f>'Scaled 2017-18 Data'!$G14</f>
        <v>45.231337266552593</v>
      </c>
      <c r="J15" s="56">
        <f ca="1">$I15*('Motorcycle Supporting Data'!J15/'Motorcycle Supporting Data'!$I15)</f>
        <v>47.775530074107017</v>
      </c>
      <c r="K15" s="56">
        <f ca="1">$I15*('Motorcycle Supporting Data'!K15/'Motorcycle Supporting Data'!$I15)</f>
        <v>49.291601855773443</v>
      </c>
      <c r="L15" s="56">
        <f ca="1">$I15*('Motorcycle Supporting Data'!L15/'Motorcycle Supporting Data'!$I15)</f>
        <v>50.263586942308734</v>
      </c>
      <c r="M15" s="56">
        <f ca="1">$I15*('Motorcycle Supporting Data'!M15/'Motorcycle Supporting Data'!$I15)</f>
        <v>50.281022940011361</v>
      </c>
      <c r="N15" s="56">
        <f ca="1">$I15*('Motorcycle Supporting Data'!N15/'Motorcycle Supporting Data'!$I15)</f>
        <v>50.011112720601353</v>
      </c>
      <c r="O15" s="56">
        <f ca="1">$I15*('Motorcycle Supporting Data'!O15/'Motorcycle Supporting Data'!$I15)</f>
        <v>51.439387033275253</v>
      </c>
      <c r="P15" s="56">
        <f ca="1">$I15*('Motorcycle Supporting Data'!P15/'Motorcycle Supporting Data'!$I15)</f>
        <v>52.754746098216955</v>
      </c>
      <c r="Q15" s="57">
        <f ca="1">$I15*('Motorcycle Supporting Data'!Q15/'Motorcycle Supporting Data'!$I15)</f>
        <v>54.002693182902185</v>
      </c>
    </row>
    <row r="16" spans="3:17" ht="15.5" x14ac:dyDescent="0.35">
      <c r="C16" s="24" t="s">
        <v>9</v>
      </c>
      <c r="D16" s="55">
        <f>'Scaled 2012-13 Data'!$G15</f>
        <v>18.906650307937248</v>
      </c>
      <c r="E16" s="56">
        <f>'Scaled 2013-14 Data'!$G15</f>
        <v>18.084782368895013</v>
      </c>
      <c r="F16" s="56">
        <f>'Scaled 2014-15 Data'!$G15</f>
        <v>17.174473811878244</v>
      </c>
      <c r="G16" s="56">
        <f>'Scaled 2015-16 Data'!$G15</f>
        <v>19.550282180920426</v>
      </c>
      <c r="H16" s="56">
        <f>'Scaled 2016-17 Data'!$G15</f>
        <v>19.546073851503056</v>
      </c>
      <c r="I16" s="56">
        <f>'Scaled 2017-18 Data'!$G15</f>
        <v>19.807466303638993</v>
      </c>
      <c r="J16" s="56">
        <f ca="1">$I16*('Motorcycle Supporting Data'!J16/'Motorcycle Supporting Data'!$I16)</f>
        <v>20.393643414495013</v>
      </c>
      <c r="K16" s="56">
        <f ca="1">$I16*('Motorcycle Supporting Data'!K16/'Motorcycle Supporting Data'!$I16)</f>
        <v>20.605496887288123</v>
      </c>
      <c r="L16" s="56">
        <f ca="1">$I16*('Motorcycle Supporting Data'!L16/'Motorcycle Supporting Data'!$I16)</f>
        <v>20.573757828209235</v>
      </c>
      <c r="M16" s="56">
        <f ca="1">$I16*('Motorcycle Supporting Data'!M16/'Motorcycle Supporting Data'!$I16)</f>
        <v>20.142719281379229</v>
      </c>
      <c r="N16" s="56">
        <f ca="1">$I16*('Motorcycle Supporting Data'!N16/'Motorcycle Supporting Data'!$I16)</f>
        <v>19.576066860173942</v>
      </c>
      <c r="O16" s="56">
        <f ca="1">$I16*('Motorcycle Supporting Data'!O16/'Motorcycle Supporting Data'!$I16)</f>
        <v>19.670707545003786</v>
      </c>
      <c r="P16" s="56">
        <f ca="1">$I16*('Motorcycle Supporting Data'!P16/'Motorcycle Supporting Data'!$I16)</f>
        <v>19.704647220590768</v>
      </c>
      <c r="Q16" s="57">
        <f ca="1">$I16*('Motorcycle Supporting Data'!Q16/'Motorcycle Supporting Data'!$I16)</f>
        <v>19.697927895949498</v>
      </c>
    </row>
    <row r="17" spans="3:17" ht="15.5" x14ac:dyDescent="0.35">
      <c r="C17" s="24" t="s">
        <v>10</v>
      </c>
      <c r="D17" s="55">
        <f>'Scaled 2012-13 Data'!$G16</f>
        <v>6.2495289086035593</v>
      </c>
      <c r="E17" s="56">
        <f>'Scaled 2013-14 Data'!$G16</f>
        <v>6.303205469607259</v>
      </c>
      <c r="F17" s="56">
        <f>'Scaled 2014-15 Data'!$G16</f>
        <v>6.6727696224627238</v>
      </c>
      <c r="G17" s="56">
        <f>'Scaled 2015-16 Data'!$G16</f>
        <v>6.6052521510774138</v>
      </c>
      <c r="H17" s="56">
        <f>'Scaled 2016-17 Data'!$G16</f>
        <v>7.1659192329701016</v>
      </c>
      <c r="I17" s="56">
        <f>'Scaled 2017-18 Data'!$G16</f>
        <v>7.7300286856583789</v>
      </c>
      <c r="J17" s="56">
        <f ca="1">$I17*('Motorcycle Supporting Data'!J17/'Motorcycle Supporting Data'!$I17)</f>
        <v>7.7256215330702487</v>
      </c>
      <c r="K17" s="56">
        <f ca="1">$I17*('Motorcycle Supporting Data'!K17/'Motorcycle Supporting Data'!$I17)</f>
        <v>7.5898365600460656</v>
      </c>
      <c r="L17" s="56">
        <f ca="1">$I17*('Motorcycle Supporting Data'!L17/'Motorcycle Supporting Data'!$I17)</f>
        <v>7.3716117182408176</v>
      </c>
      <c r="M17" s="56">
        <f ca="1">$I17*('Motorcycle Supporting Data'!M17/'Motorcycle Supporting Data'!$I17)</f>
        <v>7.0241378044912857</v>
      </c>
      <c r="N17" s="56">
        <f ca="1">$I17*('Motorcycle Supporting Data'!N17/'Motorcycle Supporting Data'!$I17)</f>
        <v>6.661429750998348</v>
      </c>
      <c r="O17" s="56">
        <f ca="1">$I17*('Motorcycle Supporting Data'!O17/'Motorcycle Supporting Data'!$I17)</f>
        <v>6.5314349274203058</v>
      </c>
      <c r="P17" s="56">
        <f ca="1">$I17*('Motorcycle Supporting Data'!P17/'Motorcycle Supporting Data'!$I17)</f>
        <v>6.3838605758869775</v>
      </c>
      <c r="Q17" s="57">
        <f ca="1">$I17*('Motorcycle Supporting Data'!Q17/'Motorcycle Supporting Data'!$I17)</f>
        <v>6.2264550014653262</v>
      </c>
    </row>
    <row r="18" spans="3:17" ht="15.5" x14ac:dyDescent="0.35">
      <c r="C18" s="24" t="s">
        <v>11</v>
      </c>
      <c r="D18" s="55">
        <f>'Scaled 2012-13 Data'!$G17</f>
        <v>52.00251695729056</v>
      </c>
      <c r="E18" s="56">
        <f>'Scaled 2013-14 Data'!$G17</f>
        <v>53.935598319994213</v>
      </c>
      <c r="F18" s="56">
        <f>'Scaled 2014-15 Data'!$G17</f>
        <v>55.712248212767172</v>
      </c>
      <c r="G18" s="56">
        <f>'Scaled 2015-16 Data'!$G17</f>
        <v>60.045683744487782</v>
      </c>
      <c r="H18" s="56">
        <f>'Scaled 2016-17 Data'!$G17</f>
        <v>57.936037287034118</v>
      </c>
      <c r="I18" s="56">
        <f>'Scaled 2017-18 Data'!$G17</f>
        <v>59.883356961998771</v>
      </c>
      <c r="J18" s="56">
        <f ca="1">$I18*('Motorcycle Supporting Data'!J18/'Motorcycle Supporting Data'!$I18)</f>
        <v>64.442954821198498</v>
      </c>
      <c r="K18" s="56">
        <f ca="1">$I18*('Motorcycle Supporting Data'!K18/'Motorcycle Supporting Data'!$I18)</f>
        <v>67.312321492723626</v>
      </c>
      <c r="L18" s="56">
        <f ca="1">$I18*('Motorcycle Supporting Data'!L18/'Motorcycle Supporting Data'!$I18)</f>
        <v>69.451659836332681</v>
      </c>
      <c r="M18" s="56">
        <f ca="1">$I18*('Motorcycle Supporting Data'!M18/'Motorcycle Supporting Data'!$I18)</f>
        <v>70.294118322017695</v>
      </c>
      <c r="N18" s="56">
        <f ca="1">$I18*('Motorcycle Supporting Data'!N18/'Motorcycle Supporting Data'!$I18)</f>
        <v>70.728759821025534</v>
      </c>
      <c r="O18" s="56">
        <f ca="1">$I18*('Motorcycle Supporting Data'!O18/'Motorcycle Supporting Data'!$I18)</f>
        <v>73.582839788343875</v>
      </c>
      <c r="P18" s="56">
        <f ca="1">$I18*('Motorcycle Supporting Data'!P18/'Motorcycle Supporting Data'!$I18)</f>
        <v>76.317931685493889</v>
      </c>
      <c r="Q18" s="57">
        <f ca="1">$I18*('Motorcycle Supporting Data'!Q18/'Motorcycle Supporting Data'!$I18)</f>
        <v>78.994060919578118</v>
      </c>
    </row>
    <row r="19" spans="3:17" ht="15.5" x14ac:dyDescent="0.35">
      <c r="C19" s="24" t="s">
        <v>12</v>
      </c>
      <c r="D19" s="55">
        <f>'Scaled 2012-13 Data'!$G18</f>
        <v>19.627457343040088</v>
      </c>
      <c r="E19" s="56">
        <f>'Scaled 2013-14 Data'!$G18</f>
        <v>20.264450172404157</v>
      </c>
      <c r="F19" s="56">
        <f>'Scaled 2014-15 Data'!$G18</f>
        <v>20.487101994423131</v>
      </c>
      <c r="G19" s="56">
        <f>'Scaled 2015-16 Data'!$G18</f>
        <v>21.306066673350525</v>
      </c>
      <c r="H19" s="56">
        <f>'Scaled 2016-17 Data'!$G18</f>
        <v>19.901364309339975</v>
      </c>
      <c r="I19" s="56">
        <f>'Scaled 2017-18 Data'!$G18</f>
        <v>17.630815732679078</v>
      </c>
      <c r="J19" s="56">
        <f ca="1">$I19*('Motorcycle Supporting Data'!J19/'Motorcycle Supporting Data'!$I19)</f>
        <v>18.922388164644591</v>
      </c>
      <c r="K19" s="56">
        <f ca="1">$I19*('Motorcycle Supporting Data'!K19/'Motorcycle Supporting Data'!$I19)</f>
        <v>19.667314102455492</v>
      </c>
      <c r="L19" s="56">
        <f ca="1">$I19*('Motorcycle Supporting Data'!L19/'Motorcycle Supporting Data'!$I19)</f>
        <v>20.198049001490979</v>
      </c>
      <c r="M19" s="56">
        <f ca="1">$I19*('Motorcycle Supporting Data'!M19/'Motorcycle Supporting Data'!$I19)</f>
        <v>20.340322546175791</v>
      </c>
      <c r="N19" s="56">
        <f ca="1">$I19*('Motorcycle Supporting Data'!N19/'Motorcycle Supporting Data'!$I19)</f>
        <v>20.369868317266128</v>
      </c>
      <c r="O19" s="56">
        <f ca="1">$I19*('Motorcycle Supporting Data'!O19/'Motorcycle Supporting Data'!$I19)</f>
        <v>21.091138883468808</v>
      </c>
      <c r="P19" s="56">
        <f ca="1">$I19*('Motorcycle Supporting Data'!P19/'Motorcycle Supporting Data'!$I19)</f>
        <v>21.770205996396058</v>
      </c>
      <c r="Q19" s="57">
        <f ca="1">$I19*('Motorcycle Supporting Data'!Q19/'Motorcycle Supporting Data'!$I19)</f>
        <v>22.424721650725971</v>
      </c>
    </row>
    <row r="20" spans="3:17" ht="16" thickBot="1" x14ac:dyDescent="0.4">
      <c r="C20" s="25" t="s">
        <v>13</v>
      </c>
      <c r="D20" s="58">
        <f>'Scaled 2012-13 Data'!$G19</f>
        <v>8.4069565937113993</v>
      </c>
      <c r="E20" s="59">
        <f>'Scaled 2013-14 Data'!$G19</f>
        <v>8.3813963296353666</v>
      </c>
      <c r="F20" s="59">
        <f>'Scaled 2014-15 Data'!$G19</f>
        <v>7.8984877300179157</v>
      </c>
      <c r="G20" s="59">
        <f>'Scaled 2015-16 Data'!$G19</f>
        <v>8.8635508086328034</v>
      </c>
      <c r="H20" s="59">
        <f>'Scaled 2016-17 Data'!$G19</f>
        <v>9.1486434791888858</v>
      </c>
      <c r="I20" s="59">
        <f>'Scaled 2017-18 Data'!$G19</f>
        <v>9.1656911469397109</v>
      </c>
      <c r="J20" s="59">
        <f ca="1">$I20*('Motorcycle Supporting Data'!J20/'Motorcycle Supporting Data'!$I20)</f>
        <v>9.2435745360558297</v>
      </c>
      <c r="K20" s="59">
        <f ca="1">$I20*('Motorcycle Supporting Data'!K20/'Motorcycle Supporting Data'!$I20)</f>
        <v>9.1829809719123485</v>
      </c>
      <c r="L20" s="59">
        <f ca="1">$I20*('Motorcycle Supporting Data'!L20/'Motorcycle Supporting Data'!$I20)</f>
        <v>9.0307860106019255</v>
      </c>
      <c r="M20" s="59">
        <f ca="1">$I20*('Motorcycle Supporting Data'!M20/'Motorcycle Supporting Data'!$I20)</f>
        <v>8.7177515524368694</v>
      </c>
      <c r="N20" s="59">
        <f ca="1">$I20*('Motorcycle Supporting Data'!N20/'Motorcycle Supporting Data'!$I20)</f>
        <v>8.3721504205730923</v>
      </c>
      <c r="O20" s="59">
        <f ca="1">$I20*('Motorcycle Supporting Data'!O20/'Motorcycle Supporting Data'!$I20)</f>
        <v>8.3125884658112987</v>
      </c>
      <c r="P20" s="59">
        <f ca="1">$I20*('Motorcycle Supporting Data'!P20/'Motorcycle Supporting Data'!$I20)</f>
        <v>8.2275243255428663</v>
      </c>
      <c r="Q20" s="60">
        <f ca="1">$I20*('Motorcycle Supporting Data'!Q20/'Motorcycle Supporting Data'!$I20)</f>
        <v>8.1261482483230711</v>
      </c>
    </row>
    <row r="21" spans="3:17" ht="16.5" thickTop="1" thickBot="1" x14ac:dyDescent="0.4">
      <c r="C21" s="31" t="s">
        <v>24</v>
      </c>
      <c r="D21" s="61">
        <f t="shared" ref="D21:Q21" si="0">SUM(D7:D20)</f>
        <v>385.37817629123339</v>
      </c>
      <c r="E21" s="62">
        <f t="shared" si="0"/>
        <v>394.47859881411927</v>
      </c>
      <c r="F21" s="62">
        <f t="shared" si="0"/>
        <v>399.980804562326</v>
      </c>
      <c r="G21" s="62">
        <f t="shared" ref="G21:H21" si="1">SUM(G7:G20)</f>
        <v>417.59118960297752</v>
      </c>
      <c r="H21" s="62">
        <f t="shared" si="1"/>
        <v>414.46709349717725</v>
      </c>
      <c r="I21" s="62">
        <f t="shared" si="0"/>
        <v>413.75162126558104</v>
      </c>
      <c r="J21" s="62">
        <f t="shared" ca="1" si="0"/>
        <v>437.13860363583865</v>
      </c>
      <c r="K21" s="62">
        <f t="shared" ca="1" si="0"/>
        <v>450.46215031536588</v>
      </c>
      <c r="L21" s="62">
        <f t="shared" ca="1" si="0"/>
        <v>458.78377812773238</v>
      </c>
      <c r="M21" s="62">
        <f t="shared" ca="1" si="0"/>
        <v>458.38772445299583</v>
      </c>
      <c r="N21" s="62">
        <f t="shared" ca="1" si="0"/>
        <v>455.41674324651854</v>
      </c>
      <c r="O21" s="62">
        <f t="shared" ca="1" si="0"/>
        <v>467.94995380517918</v>
      </c>
      <c r="P21" s="62">
        <f t="shared" ca="1" si="0"/>
        <v>479.47968683568189</v>
      </c>
      <c r="Q21" s="63">
        <f t="shared" ca="1" si="0"/>
        <v>490.4214651288097</v>
      </c>
    </row>
    <row r="22" spans="3:17" ht="16.5" thickTop="1" thickBot="1" x14ac:dyDescent="0.4">
      <c r="C22" s="31" t="s">
        <v>96</v>
      </c>
      <c r="D22" s="61">
        <f>'Scaled 2012-13 Data'!$G21</f>
        <v>385.37817629123339</v>
      </c>
      <c r="E22" s="62">
        <f>'Scaled 2013-14 Data'!$G21</f>
        <v>394.47859881411927</v>
      </c>
      <c r="F22" s="62">
        <f>'Scaled 2014-15 Data'!$G21</f>
        <v>399.980804562326</v>
      </c>
      <c r="G22" s="62">
        <f>'Scaled 2015-16 Data'!$G21</f>
        <v>417.59118960297752</v>
      </c>
      <c r="H22" s="62">
        <f>'Scaled 2016-17 Data'!$G21</f>
        <v>414.46709349717725</v>
      </c>
      <c r="I22" s="62">
        <f>'Scaled 2017-18 Data'!$G21</f>
        <v>413.75162126558104</v>
      </c>
      <c r="J22" s="62"/>
      <c r="K22" s="62"/>
      <c r="L22" s="62"/>
      <c r="M22" s="62"/>
      <c r="N22" s="62"/>
      <c r="O22" s="62"/>
      <c r="P22" s="62"/>
      <c r="Q22" s="63"/>
    </row>
    <row r="23" spans="3:17" ht="13" thickTop="1" x14ac:dyDescent="0.25"/>
    <row r="24" spans="3:17" ht="13" thickBot="1" x14ac:dyDescent="0.3"/>
    <row r="25" spans="3:17" ht="16" thickTop="1" x14ac:dyDescent="0.35">
      <c r="C25" s="32" t="s">
        <v>56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37" t="s">
        <v>37</v>
      </c>
      <c r="F26" s="37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</row>
    <row r="27" spans="3:17" ht="14" thickTop="1" thickBot="1" x14ac:dyDescent="0.3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16" thickTop="1" x14ac:dyDescent="0.35">
      <c r="C28" s="24" t="s">
        <v>0</v>
      </c>
      <c r="D28" s="39">
        <f>('[1]12_13 fleet'!$D99+'[1]12_13 fleet'!$D114)*'Motorcycle Supporting Data'!D$32</f>
        <v>4131.2252676752669</v>
      </c>
      <c r="E28" s="40">
        <f>('[2]13_14 fleet'!$D100+'[2]13_14 fleet'!$D115)*'Motorcycle Supporting Data'!E$32</f>
        <v>4245.0962503547526</v>
      </c>
      <c r="F28" s="40">
        <f>('[3]14_15 fleet'!$D100+'[3]14_15 fleet'!$D115)*'Motorcycle Supporting Data'!F$32</f>
        <v>4388.4612956255778</v>
      </c>
      <c r="G28" s="40">
        <f>('[4]15_16 fleet'!$D100+'[4]15_16 fleet'!$D115)*'Motorcycle Supporting Data'!G$32</f>
        <v>4578.1000373037605</v>
      </c>
      <c r="H28" s="40">
        <f>('[5]16_17 fleet_v2'!$D100+'[5]16_17 fleet_v2'!$D115)*'Motorcycle Supporting Data'!H$32</f>
        <v>4820.3329480054645</v>
      </c>
      <c r="I28" s="40">
        <f>('[6]17_18 fleet_v3'!$D101+'[6]17_18 fleet_v3'!$D116)*'Motorcycle Supporting Data'!I$32</f>
        <v>5055.1704888953245</v>
      </c>
      <c r="J28" s="40">
        <f ca="1">$I28*('Motorcycle Supporting Data'!J7/'Motorcycle Supporting Data'!$I7)</f>
        <v>5310.8195701622353</v>
      </c>
      <c r="K28" s="40">
        <f ca="1">$I28*('Motorcycle Supporting Data'!K7/'Motorcycle Supporting Data'!$I7)</f>
        <v>5448.6748305429246</v>
      </c>
      <c r="L28" s="40">
        <f ca="1">$I28*('Motorcycle Supporting Data'!L7/'Motorcycle Supporting Data'!$I7)</f>
        <v>5517.5189283224163</v>
      </c>
      <c r="M28" s="40">
        <f ca="1">$I28*('Motorcycle Supporting Data'!M7/'Motorcycle Supporting Data'!$I7)</f>
        <v>5479.6020469236064</v>
      </c>
      <c r="N28" s="40">
        <f ca="1">$I28*('Motorcycle Supporting Data'!N7/'Motorcycle Supporting Data'!$I7)</f>
        <v>5405.5650454363704</v>
      </c>
      <c r="O28" s="40">
        <f ca="1">$I28*('Motorcycle Supporting Data'!O7/'Motorcycle Supporting Data'!$I7)</f>
        <v>5515.3199655748494</v>
      </c>
      <c r="P28" s="40">
        <f ca="1">$I28*('Motorcycle Supporting Data'!P7/'Motorcycle Supporting Data'!$I7)</f>
        <v>5611.8767580773228</v>
      </c>
      <c r="Q28" s="41">
        <f ca="1">$I28*('Motorcycle Supporting Data'!Q7/'Motorcycle Supporting Data'!$I7)</f>
        <v>5700.4037747727298</v>
      </c>
    </row>
    <row r="29" spans="3:17" ht="15.5" x14ac:dyDescent="0.35">
      <c r="C29" s="24" t="s">
        <v>1</v>
      </c>
      <c r="D29" s="42">
        <f>('[1]12_13 fleet'!$D100+'[1]12_13 fleet'!$D115)*'Motorcycle Supporting Data'!D$32</f>
        <v>33394.157872226293</v>
      </c>
      <c r="E29" s="43">
        <f>('[2]13_14 fleet'!$D101+'[2]13_14 fleet'!$D116)*'Motorcycle Supporting Data'!E$32</f>
        <v>34890.413173942834</v>
      </c>
      <c r="F29" s="43">
        <f>('[3]14_15 fleet'!$D101+'[3]14_15 fleet'!$D116)*'Motorcycle Supporting Data'!F$32</f>
        <v>37206.695860049913</v>
      </c>
      <c r="G29" s="43">
        <f>('[4]15_16 fleet'!$D101+'[4]15_16 fleet'!$D116)*'Motorcycle Supporting Data'!G$32</f>
        <v>39060.714145712285</v>
      </c>
      <c r="H29" s="43">
        <f>('[5]16_17 fleet_v2'!$D101+'[5]16_17 fleet_v2'!$D116)*'Motorcycle Supporting Data'!H$32</f>
        <v>40771.640693095622</v>
      </c>
      <c r="I29" s="43">
        <f>('[6]17_18 fleet_v3'!$D102+'[6]17_18 fleet_v3'!$D117)*'Motorcycle Supporting Data'!I$32</f>
        <v>42022.79425127156</v>
      </c>
      <c r="J29" s="43">
        <f ca="1">$I29*('Motorcycle Supporting Data'!J8/'Motorcycle Supporting Data'!$I8)</f>
        <v>45086.071851073801</v>
      </c>
      <c r="K29" s="43">
        <f ca="1">$I29*('Motorcycle Supporting Data'!K8/'Motorcycle Supporting Data'!$I8)</f>
        <v>47027.861387493307</v>
      </c>
      <c r="L29" s="43">
        <f ca="1">$I29*('Motorcycle Supporting Data'!L8/'Motorcycle Supporting Data'!$I8)</f>
        <v>48481.336897709058</v>
      </c>
      <c r="M29" s="43">
        <f ca="1">$I29*('Motorcycle Supporting Data'!M8/'Motorcycle Supporting Data'!$I8)</f>
        <v>49019.244798967637</v>
      </c>
      <c r="N29" s="43">
        <f ca="1">$I29*('Motorcycle Supporting Data'!N8/'Motorcycle Supporting Data'!$I8)</f>
        <v>49278.568884597858</v>
      </c>
      <c r="O29" s="43">
        <f ca="1">$I29*('Motorcycle Supporting Data'!O8/'Motorcycle Supporting Data'!$I8)</f>
        <v>51228.849537864415</v>
      </c>
      <c r="P29" s="43">
        <f ca="1">$I29*('Motorcycle Supporting Data'!P8/'Motorcycle Supporting Data'!$I8)</f>
        <v>53100.808032607027</v>
      </c>
      <c r="Q29" s="44">
        <f ca="1">$I29*('Motorcycle Supporting Data'!Q8/'Motorcycle Supporting Data'!$I8)</f>
        <v>54936.978580145231</v>
      </c>
    </row>
    <row r="30" spans="3:17" ht="15.5" x14ac:dyDescent="0.35">
      <c r="C30" s="24" t="s">
        <v>2</v>
      </c>
      <c r="D30" s="42">
        <f>('[1]12_13 fleet'!$D101+'[1]12_13 fleet'!$D116)*'Motorcycle Supporting Data'!D$32</f>
        <v>13186.73748613598</v>
      </c>
      <c r="E30" s="43">
        <f>('[2]13_14 fleet'!$D102+'[2]13_14 fleet'!$D117)*'Motorcycle Supporting Data'!E$32</f>
        <v>13806.846477050121</v>
      </c>
      <c r="F30" s="43">
        <f>('[3]14_15 fleet'!$D102+'[3]14_15 fleet'!$D117)*'Motorcycle Supporting Data'!F$32</f>
        <v>14409.389074094694</v>
      </c>
      <c r="G30" s="43">
        <f>('[4]15_16 fleet'!$D102+'[4]15_16 fleet'!$D117)*'Motorcycle Supporting Data'!G$32</f>
        <v>15107.73012310241</v>
      </c>
      <c r="H30" s="43">
        <f>('[5]16_17 fleet_v2'!$D102+'[5]16_17 fleet_v2'!$D117)*'Motorcycle Supporting Data'!H$32</f>
        <v>15705.088182385776</v>
      </c>
      <c r="I30" s="43">
        <f>('[6]17_18 fleet_v3'!$D103+'[6]17_18 fleet_v3'!$D118)*'Motorcycle Supporting Data'!I$32</f>
        <v>16248.910818686985</v>
      </c>
      <c r="J30" s="43">
        <f ca="1">$I30*('Motorcycle Supporting Data'!J9/'Motorcycle Supporting Data'!$I9)</f>
        <v>17117.747052421531</v>
      </c>
      <c r="K30" s="43">
        <f ca="1">$I30*('Motorcycle Supporting Data'!K9/'Motorcycle Supporting Data'!$I9)</f>
        <v>17596.59924996713</v>
      </c>
      <c r="L30" s="43">
        <f ca="1">$I30*('Motorcycle Supporting Data'!L9/'Motorcycle Supporting Data'!$I9)</f>
        <v>17868.876792384744</v>
      </c>
      <c r="M30" s="43">
        <f ca="1">$I30*('Motorcycle Supporting Data'!M9/'Motorcycle Supporting Data'!$I9)</f>
        <v>17792.839558156527</v>
      </c>
      <c r="N30" s="43">
        <f ca="1">$I30*('Motorcycle Supporting Data'!N9/'Motorcycle Supporting Data'!$I9)</f>
        <v>17611.279624209688</v>
      </c>
      <c r="O30" s="43">
        <f ca="1">$I30*('Motorcycle Supporting Data'!O9/'Motorcycle Supporting Data'!$I9)</f>
        <v>18020.747877104724</v>
      </c>
      <c r="P30" s="43">
        <f ca="1">$I30*('Motorcycle Supporting Data'!P9/'Motorcycle Supporting Data'!$I9)</f>
        <v>18380.465638321733</v>
      </c>
      <c r="Q30" s="44">
        <f ca="1">$I30*('Motorcycle Supporting Data'!Q9/'Motorcycle Supporting Data'!$I9)</f>
        <v>18706.37538242948</v>
      </c>
    </row>
    <row r="31" spans="3:17" ht="15.5" x14ac:dyDescent="0.35">
      <c r="C31" s="24" t="s">
        <v>3</v>
      </c>
      <c r="D31" s="42">
        <f>('[1]12_13 fleet'!$D102+'[1]12_13 fleet'!$D117)*'Motorcycle Supporting Data'!D$32</f>
        <v>10544.589878721537</v>
      </c>
      <c r="E31" s="43">
        <f>('[2]13_14 fleet'!$D103+'[2]13_14 fleet'!$D118)*'Motorcycle Supporting Data'!E$32</f>
        <v>10927.420725840502</v>
      </c>
      <c r="F31" s="43">
        <f>('[3]14_15 fleet'!$D103+'[3]14_15 fleet'!$D118)*'Motorcycle Supporting Data'!F$32</f>
        <v>11352.053850133938</v>
      </c>
      <c r="G31" s="43">
        <f>('[4]15_16 fleet'!$D103+'[4]15_16 fleet'!$D118)*'Motorcycle Supporting Data'!G$32</f>
        <v>11911.162928914209</v>
      </c>
      <c r="H31" s="43">
        <f>('[5]16_17 fleet_v2'!$D103+'[5]16_17 fleet_v2'!$D118)*'Motorcycle Supporting Data'!H$32</f>
        <v>12526.090920892395</v>
      </c>
      <c r="I31" s="43">
        <f>('[6]17_18 fleet_v3'!$D104+'[6]17_18 fleet_v3'!$D119)*'Motorcycle Supporting Data'!I$32</f>
        <v>13255.526236718735</v>
      </c>
      <c r="J31" s="43">
        <f ca="1">$I31*('Motorcycle Supporting Data'!J10/'Motorcycle Supporting Data'!$I10)</f>
        <v>13839.309761124852</v>
      </c>
      <c r="K31" s="43">
        <f ca="1">$I31*('Motorcycle Supporting Data'!K10/'Motorcycle Supporting Data'!$I10)</f>
        <v>14121.83876603012</v>
      </c>
      <c r="L31" s="43">
        <f ca="1">$I31*('Motorcycle Supporting Data'!L10/'Motorcycle Supporting Data'!$I10)</f>
        <v>14236.440106687664</v>
      </c>
      <c r="M31" s="43">
        <f ca="1">$I31*('Motorcycle Supporting Data'!M10/'Motorcycle Supporting Data'!$I10)</f>
        <v>14069.786885089658</v>
      </c>
      <c r="N31" s="43">
        <f ca="1">$I31*('Motorcycle Supporting Data'!N10/'Motorcycle Supporting Data'!$I10)</f>
        <v>13824.168638615616</v>
      </c>
      <c r="O31" s="43">
        <f ca="1">$I31*('Motorcycle Supporting Data'!O10/'Motorcycle Supporting Data'!$I10)</f>
        <v>14041.183505640574</v>
      </c>
      <c r="P31" s="43">
        <f ca="1">$I31*('Motorcycle Supporting Data'!P10/'Motorcycle Supporting Data'!$I10)</f>
        <v>14214.982977732627</v>
      </c>
      <c r="Q31" s="44">
        <f ca="1">$I31*('Motorcycle Supporting Data'!Q10/'Motorcycle Supporting Data'!$I10)</f>
        <v>14358.652745367082</v>
      </c>
    </row>
    <row r="32" spans="3:17" ht="15.5" x14ac:dyDescent="0.35">
      <c r="C32" s="24" t="s">
        <v>4</v>
      </c>
      <c r="D32" s="42">
        <f>('[1]12_13 fleet'!$D103+'[1]12_13 fleet'!$D118)*'Motorcycle Supporting Data'!D$32</f>
        <v>1268.898692976288</v>
      </c>
      <c r="E32" s="43">
        <f>('[2]13_14 fleet'!$D104+'[2]13_14 fleet'!$D119)*'Motorcycle Supporting Data'!E$32</f>
        <v>1272.0891622308209</v>
      </c>
      <c r="F32" s="43">
        <f>('[3]14_15 fleet'!$D104+'[3]14_15 fleet'!$D119)*'Motorcycle Supporting Data'!F$32</f>
        <v>1289.5916965215513</v>
      </c>
      <c r="G32" s="43">
        <f>('[4]15_16 fleet'!$D104+'[4]15_16 fleet'!$D119)*'Motorcycle Supporting Data'!G$32</f>
        <v>1286.3245680034902</v>
      </c>
      <c r="H32" s="43">
        <f>('[5]16_17 fleet_v2'!$D104+'[5]16_17 fleet_v2'!$D119)*'Motorcycle Supporting Data'!H$32</f>
        <v>1287.2013451445598</v>
      </c>
      <c r="I32" s="43">
        <f>('[6]17_18 fleet_v3'!$D105+'[6]17_18 fleet_v3'!$D120)*'Motorcycle Supporting Data'!I$32</f>
        <v>1302.7825221278981</v>
      </c>
      <c r="J32" s="43">
        <f ca="1">$I32*('Motorcycle Supporting Data'!J11/'Motorcycle Supporting Data'!$I11)</f>
        <v>1326.2013240313108</v>
      </c>
      <c r="K32" s="43">
        <f ca="1">$I32*('Motorcycle Supporting Data'!K11/'Motorcycle Supporting Data'!$I11)</f>
        <v>1326.8821331201648</v>
      </c>
      <c r="L32" s="43">
        <f ca="1">$I32*('Motorcycle Supporting Data'!L11/'Motorcycle Supporting Data'!$I11)</f>
        <v>1312.7202783065168</v>
      </c>
      <c r="M32" s="43">
        <f ca="1">$I32*('Motorcycle Supporting Data'!M11/'Motorcycle Supporting Data'!$I11)</f>
        <v>1272.2862780282687</v>
      </c>
      <c r="N32" s="43">
        <f ca="1">$I32*('Motorcycle Supporting Data'!N11/'Motorcycle Supporting Data'!$I11)</f>
        <v>1226.8148148485891</v>
      </c>
      <c r="O32" s="43">
        <f ca="1">$I32*('Motorcycle Supporting Data'!O11/'Motorcycle Supporting Data'!$I11)</f>
        <v>1223.0378662659966</v>
      </c>
      <c r="P32" s="43">
        <f ca="1">$I32*('Motorcycle Supporting Data'!P11/'Motorcycle Supporting Data'!$I11)</f>
        <v>1215.4425388006284</v>
      </c>
      <c r="Q32" s="44">
        <f ca="1">$I32*('Motorcycle Supporting Data'!Q11/'Motorcycle Supporting Data'!$I11)</f>
        <v>1205.3457250073288</v>
      </c>
    </row>
    <row r="33" spans="3:17" ht="15.5" x14ac:dyDescent="0.35">
      <c r="C33" s="24" t="s">
        <v>5</v>
      </c>
      <c r="D33" s="42">
        <f>('[1]12_13 fleet'!$D104+'[1]12_13 fleet'!$D119)*'Motorcycle Supporting Data'!D$32</f>
        <v>4852.2852979767595</v>
      </c>
      <c r="E33" s="43">
        <f>('[2]13_14 fleet'!$D105+'[2]13_14 fleet'!$D120)*'Motorcycle Supporting Data'!E$32</f>
        <v>4943.3569950230849</v>
      </c>
      <c r="F33" s="43">
        <f>('[3]14_15 fleet'!$D105+'[3]14_15 fleet'!$D120)*'Motorcycle Supporting Data'!F$32</f>
        <v>5132.0279140441307</v>
      </c>
      <c r="G33" s="43">
        <f>('[4]15_16 fleet'!$D105+'[4]15_16 fleet'!$D120)*'Motorcycle Supporting Data'!G$32</f>
        <v>5199.992387503873</v>
      </c>
      <c r="H33" s="43">
        <f>('[5]16_17 fleet_v2'!$D105+'[5]16_17 fleet_v2'!$D120)*'Motorcycle Supporting Data'!H$32</f>
        <v>5366.4183671577021</v>
      </c>
      <c r="I33" s="43">
        <f>('[6]17_18 fleet_v3'!$D106+'[6]17_18 fleet_v3'!$D121)*'Motorcycle Supporting Data'!I$32</f>
        <v>5661.333466070555</v>
      </c>
      <c r="J33" s="43">
        <f ca="1">$I33*('Motorcycle Supporting Data'!J12/'Motorcycle Supporting Data'!$I12)</f>
        <v>5907.4529862347854</v>
      </c>
      <c r="K33" s="43">
        <f ca="1">$I33*('Motorcycle Supporting Data'!K12/'Motorcycle Supporting Data'!$I12)</f>
        <v>6029.4093437780493</v>
      </c>
      <c r="L33" s="43">
        <f ca="1">$I33*('Motorcycle Supporting Data'!L12/'Motorcycle Supporting Data'!$I12)</f>
        <v>6080.8071529908766</v>
      </c>
      <c r="M33" s="43">
        <f ca="1">$I33*('Motorcycle Supporting Data'!M12/'Motorcycle Supporting Data'!$I12)</f>
        <v>6017.6250382657399</v>
      </c>
      <c r="N33" s="43">
        <f ca="1">$I33*('Motorcycle Supporting Data'!N12/'Motorcycle Supporting Data'!$I12)</f>
        <v>5926.9320185267443</v>
      </c>
      <c r="O33" s="43">
        <f ca="1">$I33*('Motorcycle Supporting Data'!O12/'Motorcycle Supporting Data'!$I12)</f>
        <v>6039.0425077824839</v>
      </c>
      <c r="P33" s="43">
        <f ca="1">$I33*('Motorcycle Supporting Data'!P12/'Motorcycle Supporting Data'!$I12)</f>
        <v>6137.7374144475843</v>
      </c>
      <c r="Q33" s="44">
        <f ca="1">$I33*('Motorcycle Supporting Data'!Q12/'Motorcycle Supporting Data'!$I12)</f>
        <v>6228.7537443195342</v>
      </c>
    </row>
    <row r="34" spans="3:17" ht="15.5" x14ac:dyDescent="0.35">
      <c r="C34" s="24" t="s">
        <v>6</v>
      </c>
      <c r="D34" s="42">
        <f>('[1]12_13 fleet'!$D105+'[1]12_13 fleet'!$D120)*'Motorcycle Supporting Data'!D$32</f>
        <v>5425.1680138024021</v>
      </c>
      <c r="E34" s="43">
        <f>('[2]13_14 fleet'!$D106+'[2]13_14 fleet'!$D121)*'Motorcycle Supporting Data'!E$32</f>
        <v>5490.4478877529118</v>
      </c>
      <c r="F34" s="43">
        <f>('[3]14_15 fleet'!$D106+'[3]14_15 fleet'!$D121)*'Motorcycle Supporting Data'!F$32</f>
        <v>5640.5707511641767</v>
      </c>
      <c r="G34" s="43">
        <f>('[4]15_16 fleet'!$D106+'[4]15_16 fleet'!$D121)*'Motorcycle Supporting Data'!G$32</f>
        <v>5667.9309311397883</v>
      </c>
      <c r="H34" s="43">
        <f>('[5]16_17 fleet_v2'!$D106+'[5]16_17 fleet_v2'!$D121)*'Motorcycle Supporting Data'!H$32</f>
        <v>5835.5180599256955</v>
      </c>
      <c r="I34" s="43">
        <f>('[6]17_18 fleet_v3'!$D107+'[6]17_18 fleet_v3'!$D122)*'Motorcycle Supporting Data'!I$32</f>
        <v>6005.484315890455</v>
      </c>
      <c r="J34" s="43">
        <f ca="1">$I34*('Motorcycle Supporting Data'!J13/'Motorcycle Supporting Data'!$I13)</f>
        <v>6319.3575130114286</v>
      </c>
      <c r="K34" s="43">
        <f ca="1">$I34*('Motorcycle Supporting Data'!K13/'Motorcycle Supporting Data'!$I13)</f>
        <v>6496.5991694820814</v>
      </c>
      <c r="L34" s="43">
        <f ca="1">$I34*('Motorcycle Supporting Data'!L13/'Motorcycle Supporting Data'!$I13)</f>
        <v>6606.5939318565388</v>
      </c>
      <c r="M34" s="43">
        <f ca="1">$I34*('Motorcycle Supporting Data'!M13/'Motorcycle Supporting Data'!$I13)</f>
        <v>6595.0154508615769</v>
      </c>
      <c r="N34" s="43">
        <f ca="1">$I34*('Motorcycle Supporting Data'!N13/'Motorcycle Supporting Data'!$I13)</f>
        <v>6551.6709523531481</v>
      </c>
      <c r="O34" s="43">
        <f ca="1">$I34*('Motorcycle Supporting Data'!O13/'Motorcycle Supporting Data'!$I13)</f>
        <v>6731.9495967315488</v>
      </c>
      <c r="P34" s="43">
        <f ca="1">$I34*('Motorcycle Supporting Data'!P13/'Motorcycle Supporting Data'!$I13)</f>
        <v>6898.4199849534216</v>
      </c>
      <c r="Q34" s="44">
        <f ca="1">$I34*('Motorcycle Supporting Data'!Q13/'Motorcycle Supporting Data'!$I13)</f>
        <v>7057.1254649403736</v>
      </c>
    </row>
    <row r="35" spans="3:17" ht="15.5" x14ac:dyDescent="0.35">
      <c r="C35" s="24" t="s">
        <v>7</v>
      </c>
      <c r="D35" s="42">
        <f>('[1]12_13 fleet'!$D106+'[1]12_13 fleet'!$D121)*'Motorcycle Supporting Data'!D$32</f>
        <v>9266.2996658136817</v>
      </c>
      <c r="E35" s="43">
        <f>('[2]13_14 fleet'!$D107+'[2]13_14 fleet'!$D122)*'Motorcycle Supporting Data'!E$32</f>
        <v>9512.388642388918</v>
      </c>
      <c r="F35" s="43">
        <f>('[3]14_15 fleet'!$D107+'[3]14_15 fleet'!$D122)*'Motorcycle Supporting Data'!F$32</f>
        <v>9760.5781586686153</v>
      </c>
      <c r="G35" s="43">
        <f>('[4]15_16 fleet'!$D107+'[4]15_16 fleet'!$D122)*'Motorcycle Supporting Data'!G$32</f>
        <v>10031.305922446116</v>
      </c>
      <c r="H35" s="43">
        <f>('[5]16_17 fleet_v2'!$D107+'[5]16_17 fleet_v2'!$D122)*'Motorcycle Supporting Data'!H$32</f>
        <v>10250.392848974141</v>
      </c>
      <c r="I35" s="43">
        <f>('[6]17_18 fleet_v3'!$D108+'[6]17_18 fleet_v3'!$D123)*'Motorcycle Supporting Data'!I$32</f>
        <v>10009.487103372128</v>
      </c>
      <c r="J35" s="43">
        <f ca="1">$I35*('Motorcycle Supporting Data'!J14/'Motorcycle Supporting Data'!$I14)</f>
        <v>10318.730273775269</v>
      </c>
      <c r="K35" s="43">
        <f ca="1">$I35*('Motorcycle Supporting Data'!K14/'Motorcycle Supporting Data'!$I14)</f>
        <v>10425.848277234109</v>
      </c>
      <c r="L35" s="43">
        <f ca="1">$I35*('Motorcycle Supporting Data'!L14/'Motorcycle Supporting Data'!$I14)</f>
        <v>10410.600016271721</v>
      </c>
      <c r="M35" s="43">
        <f ca="1">$I35*('Motorcycle Supporting Data'!M14/'Motorcycle Supporting Data'!$I14)</f>
        <v>10199.827341579921</v>
      </c>
      <c r="N35" s="43">
        <f ca="1">$I35*('Motorcycle Supporting Data'!N14/'Motorcycle Supporting Data'!$I14)</f>
        <v>9934.1205931899458</v>
      </c>
      <c r="O35" s="43">
        <f ca="1">$I35*('Motorcycle Supporting Data'!O14/'Motorcycle Supporting Data'!$I14)</f>
        <v>10008.45839833872</v>
      </c>
      <c r="P35" s="43">
        <f ca="1">$I35*('Motorcycle Supporting Data'!P14/'Motorcycle Supporting Data'!$I14)</f>
        <v>10057.302875655336</v>
      </c>
      <c r="Q35" s="44">
        <f ca="1">$I35*('Motorcycle Supporting Data'!Q14/'Motorcycle Supporting Data'!$I14)</f>
        <v>10090.90136316287</v>
      </c>
    </row>
    <row r="36" spans="3:17" ht="15.5" x14ac:dyDescent="0.35">
      <c r="C36" s="24" t="s">
        <v>8</v>
      </c>
      <c r="D36" s="42">
        <f>('[1]12_13 fleet'!$D107+'[1]12_13 fleet'!$D122)*'Motorcycle Supporting Data'!D$32</f>
        <v>16266.112521475639</v>
      </c>
      <c r="E36" s="43">
        <f>('[2]13_14 fleet'!$D108+'[2]13_14 fleet'!$D123)*'Motorcycle Supporting Data'!E$32</f>
        <v>16607.088020101477</v>
      </c>
      <c r="F36" s="43">
        <f>('[3]14_15 fleet'!$D108+'[3]14_15 fleet'!$D123)*'Motorcycle Supporting Data'!F$32</f>
        <v>17268.169724199815</v>
      </c>
      <c r="G36" s="43">
        <f>('[4]15_16 fleet'!$D108+'[4]15_16 fleet'!$D123)*'Motorcycle Supporting Data'!G$32</f>
        <v>17922.451362851778</v>
      </c>
      <c r="H36" s="43">
        <f>('[5]16_17 fleet_v2'!$D108+'[5]16_17 fleet_v2'!$D123)*'Motorcycle Supporting Data'!H$32</f>
        <v>18554.586534954593</v>
      </c>
      <c r="I36" s="43">
        <f>('[6]17_18 fleet_v3'!$D109+'[6]17_18 fleet_v3'!$D124)*'Motorcycle Supporting Data'!I$32</f>
        <v>19304.679240501744</v>
      </c>
      <c r="J36" s="43">
        <f ca="1">$I36*('Motorcycle Supporting Data'!J15/'Motorcycle Supporting Data'!$I15)</f>
        <v>20390.537608703227</v>
      </c>
      <c r="K36" s="43">
        <f ca="1">$I36*('Motorcycle Supporting Data'!K15/'Motorcycle Supporting Data'!$I15)</f>
        <v>21037.595184696867</v>
      </c>
      <c r="L36" s="43">
        <f ca="1">$I36*('Motorcycle Supporting Data'!L15/'Motorcycle Supporting Data'!$I15)</f>
        <v>21452.437226875234</v>
      </c>
      <c r="M36" s="43">
        <f ca="1">$I36*('Motorcycle Supporting Data'!M15/'Motorcycle Supporting Data'!$I15)</f>
        <v>21459.87888929843</v>
      </c>
      <c r="N36" s="43">
        <f ca="1">$I36*('Motorcycle Supporting Data'!N15/'Motorcycle Supporting Data'!$I15)</f>
        <v>21344.681538869951</v>
      </c>
      <c r="O36" s="43">
        <f ca="1">$I36*('Motorcycle Supporting Data'!O15/'Motorcycle Supporting Data'!$I15)</f>
        <v>21954.267262836747</v>
      </c>
      <c r="P36" s="43">
        <f ca="1">$I36*('Motorcycle Supporting Data'!P15/'Motorcycle Supporting Data'!$I15)</f>
        <v>22515.660897633461</v>
      </c>
      <c r="Q36" s="44">
        <f ca="1">$I36*('Motorcycle Supporting Data'!Q15/'Motorcycle Supporting Data'!$I15)</f>
        <v>23048.283181980165</v>
      </c>
    </row>
    <row r="37" spans="3:17" ht="15.5" x14ac:dyDescent="0.35">
      <c r="C37" s="24" t="s">
        <v>9</v>
      </c>
      <c r="D37" s="42">
        <f>('[1]12_13 fleet'!$D108+'[1]12_13 fleet'!$D123)*'Motorcycle Supporting Data'!D$32</f>
        <v>8070.4461278607005</v>
      </c>
      <c r="E37" s="43">
        <f>('[2]13_14 fleet'!$D109+'[2]13_14 fleet'!$D124)*'Motorcycle Supporting Data'!E$32</f>
        <v>8207.3917572871305</v>
      </c>
      <c r="F37" s="43">
        <f>('[3]14_15 fleet'!$D109+'[3]14_15 fleet'!$D124)*'Motorcycle Supporting Data'!F$32</f>
        <v>8422.3608522232353</v>
      </c>
      <c r="G37" s="43">
        <f>('[4]15_16 fleet'!$D109+'[4]15_16 fleet'!$D124)*'Motorcycle Supporting Data'!G$32</f>
        <v>8681.1715530377278</v>
      </c>
      <c r="H37" s="43">
        <f>('[5]16_17 fleet_v2'!$D109+'[5]16_17 fleet_v2'!$D124)*'Motorcycle Supporting Data'!H$32</f>
        <v>8980.6416018100099</v>
      </c>
      <c r="I37" s="43">
        <f>('[6]17_18 fleet_v3'!$D110+'[6]17_18 fleet_v3'!$D125)*'Motorcycle Supporting Data'!I$32</f>
        <v>9287.914022480858</v>
      </c>
      <c r="J37" s="43">
        <f ca="1">$I37*('Motorcycle Supporting Data'!J16/'Motorcycle Supporting Data'!$I16)</f>
        <v>9562.7781835056703</v>
      </c>
      <c r="K37" s="43">
        <f ca="1">$I37*('Motorcycle Supporting Data'!K16/'Motorcycle Supporting Data'!$I16)</f>
        <v>9662.1183419339541</v>
      </c>
      <c r="L37" s="43">
        <f ca="1">$I37*('Motorcycle Supporting Data'!L16/'Motorcycle Supporting Data'!$I16)</f>
        <v>9647.2355877563041</v>
      </c>
      <c r="M37" s="43">
        <f ca="1">$I37*('Motorcycle Supporting Data'!M16/'Motorcycle Supporting Data'!$I16)</f>
        <v>9445.1174116119528</v>
      </c>
      <c r="N37" s="43">
        <f ca="1">$I37*('Motorcycle Supporting Data'!N16/'Motorcycle Supporting Data'!$I16)</f>
        <v>9179.4085678807187</v>
      </c>
      <c r="O37" s="43">
        <f ca="1">$I37*('Motorcycle Supporting Data'!O16/'Motorcycle Supporting Data'!$I16)</f>
        <v>9223.7865075047666</v>
      </c>
      <c r="P37" s="43">
        <f ca="1">$I37*('Motorcycle Supporting Data'!P16/'Motorcycle Supporting Data'!$I16)</f>
        <v>9239.701152213509</v>
      </c>
      <c r="Q37" s="44">
        <f ca="1">$I37*('Motorcycle Supporting Data'!Q16/'Motorcycle Supporting Data'!$I16)</f>
        <v>9236.5503953927964</v>
      </c>
    </row>
    <row r="38" spans="3:17" ht="15.5" x14ac:dyDescent="0.35">
      <c r="C38" s="24" t="s">
        <v>10</v>
      </c>
      <c r="D38" s="42">
        <f>('[1]12_13 fleet'!$D109+'[1]12_13 fleet'!$D124)*'Motorcycle Supporting Data'!D$32</f>
        <v>1816.7373556510834</v>
      </c>
      <c r="E38" s="43">
        <f>('[2]13_14 fleet'!$D110+'[2]13_14 fleet'!$D125)*'Motorcycle Supporting Data'!E$32</f>
        <v>1844.8892134535913</v>
      </c>
      <c r="F38" s="43">
        <f>('[3]14_15 fleet'!$D110+'[3]14_15 fleet'!$D125)*'Motorcycle Supporting Data'!F$32</f>
        <v>1838.6558752447884</v>
      </c>
      <c r="G38" s="43">
        <f>('[4]15_16 fleet'!$D110+'[4]15_16 fleet'!$D125)*'Motorcycle Supporting Data'!G$32</f>
        <v>1827.1885989592886</v>
      </c>
      <c r="H38" s="43">
        <f>('[5]16_17 fleet_v2'!$D110+'[5]16_17 fleet_v2'!$D125)*'Motorcycle Supporting Data'!H$32</f>
        <v>1851.7633386290158</v>
      </c>
      <c r="I38" s="43">
        <f>('[6]17_18 fleet_v3'!$D111+'[6]17_18 fleet_v3'!$D126)*'Motorcycle Supporting Data'!I$32</f>
        <v>1869.4357340670081</v>
      </c>
      <c r="J38" s="43">
        <f ca="1">$I38*('Motorcycle Supporting Data'!J17/'Motorcycle Supporting Data'!$I17)</f>
        <v>1868.3699050942098</v>
      </c>
      <c r="K38" s="43">
        <f ca="1">$I38*('Motorcycle Supporting Data'!K17/'Motorcycle Supporting Data'!$I17)</f>
        <v>1835.5315689064428</v>
      </c>
      <c r="L38" s="43">
        <f ca="1">$I38*('Motorcycle Supporting Data'!L17/'Motorcycle Supporting Data'!$I17)</f>
        <v>1782.7559151642079</v>
      </c>
      <c r="M38" s="43">
        <f ca="1">$I38*('Motorcycle Supporting Data'!M17/'Motorcycle Supporting Data'!$I17)</f>
        <v>1698.7225722835187</v>
      </c>
      <c r="N38" s="43">
        <f ca="1">$I38*('Motorcycle Supporting Data'!N17/'Motorcycle Supporting Data'!$I17)</f>
        <v>1611.0049940173997</v>
      </c>
      <c r="O38" s="43">
        <f ca="1">$I38*('Motorcycle Supporting Data'!O17/'Motorcycle Supporting Data'!$I17)</f>
        <v>1579.5669517638953</v>
      </c>
      <c r="P38" s="43">
        <f ca="1">$I38*('Motorcycle Supporting Data'!P17/'Motorcycle Supporting Data'!$I17)</f>
        <v>1543.877463741682</v>
      </c>
      <c r="Q38" s="44">
        <f ca="1">$I38*('Motorcycle Supporting Data'!Q17/'Motorcycle Supporting Data'!$I17)</f>
        <v>1505.8103856581138</v>
      </c>
    </row>
    <row r="39" spans="3:17" ht="15.5" x14ac:dyDescent="0.35">
      <c r="C39" s="24" t="s">
        <v>11</v>
      </c>
      <c r="D39" s="42">
        <f>('[1]12_13 fleet'!$D110+'[1]12_13 fleet'!$D125)*'Motorcycle Supporting Data'!D$32</f>
        <v>24199.859859221295</v>
      </c>
      <c r="E39" s="43">
        <f>('[2]13_14 fleet'!$D111+'[2]13_14 fleet'!$D126)*'Motorcycle Supporting Data'!E$32</f>
        <v>25085.968491074083</v>
      </c>
      <c r="F39" s="43">
        <f>('[3]14_15 fleet'!$D111+'[3]14_15 fleet'!$D126)*'Motorcycle Supporting Data'!F$32</f>
        <v>26002.54490676762</v>
      </c>
      <c r="G39" s="43">
        <f>('[4]15_16 fleet'!$D111+'[4]15_16 fleet'!$D126)*'Motorcycle Supporting Data'!G$32</f>
        <v>26726.178248746532</v>
      </c>
      <c r="H39" s="43">
        <f>('[5]16_17 fleet_v2'!$D111+'[5]16_17 fleet_v2'!$D126)*'Motorcycle Supporting Data'!H$32</f>
        <v>27441.818788751723</v>
      </c>
      <c r="I39" s="43">
        <f>('[6]17_18 fleet_v3'!$D112+'[6]17_18 fleet_v3'!$D127)*'Motorcycle Supporting Data'!I$32</f>
        <v>28060.251162959074</v>
      </c>
      <c r="J39" s="43">
        <f ca="1">$I39*('Motorcycle Supporting Data'!J18/'Motorcycle Supporting Data'!$I18)</f>
        <v>30196.79573263686</v>
      </c>
      <c r="K39" s="43">
        <f ca="1">$I39*('Motorcycle Supporting Data'!K18/'Motorcycle Supporting Data'!$I18)</f>
        <v>31541.328730890658</v>
      </c>
      <c r="L39" s="43">
        <f ca="1">$I39*('Motorcycle Supporting Data'!L18/'Motorcycle Supporting Data'!$I18)</f>
        <v>32543.783741592775</v>
      </c>
      <c r="M39" s="43">
        <f ca="1">$I39*('Motorcycle Supporting Data'!M18/'Motorcycle Supporting Data'!$I18)</f>
        <v>32938.544454785406</v>
      </c>
      <c r="N39" s="43">
        <f ca="1">$I39*('Motorcycle Supporting Data'!N18/'Motorcycle Supporting Data'!$I18)</f>
        <v>33142.209550510495</v>
      </c>
      <c r="O39" s="43">
        <f ca="1">$I39*('Motorcycle Supporting Data'!O18/'Motorcycle Supporting Data'!$I18)</f>
        <v>34479.579477399267</v>
      </c>
      <c r="P39" s="43">
        <f ca="1">$I39*('Motorcycle Supporting Data'!P18/'Motorcycle Supporting Data'!$I18)</f>
        <v>35761.193760254297</v>
      </c>
      <c r="Q39" s="44">
        <f ca="1">$I39*('Motorcycle Supporting Data'!Q18/'Motorcycle Supporting Data'!$I18)</f>
        <v>37015.179212349001</v>
      </c>
    </row>
    <row r="40" spans="3:17" ht="15.5" x14ac:dyDescent="0.35">
      <c r="C40" s="24" t="s">
        <v>12</v>
      </c>
      <c r="D40" s="42">
        <f>('[1]12_13 fleet'!$D111+'[1]12_13 fleet'!$D126)*'Motorcycle Supporting Data'!D$32</f>
        <v>7395.3001950024282</v>
      </c>
      <c r="E40" s="43">
        <f>('[2]13_14 fleet'!$D112+'[2]13_14 fleet'!$D127)*'Motorcycle Supporting Data'!E$32</f>
        <v>7579.0599237196038</v>
      </c>
      <c r="F40" s="43">
        <f>('[3]14_15 fleet'!$D112+'[3]14_15 fleet'!$D127)*'Motorcycle Supporting Data'!F$32</f>
        <v>7749.7065816102649</v>
      </c>
      <c r="G40" s="43">
        <f>('[4]15_16 fleet'!$D112+'[4]15_16 fleet'!$D127)*'Motorcycle Supporting Data'!G$32</f>
        <v>7899.2482723300946</v>
      </c>
      <c r="H40" s="43">
        <f>('[5]16_17 fleet_v2'!$D112+'[5]16_17 fleet_v2'!$D127)*'Motorcycle Supporting Data'!H$32</f>
        <v>8210.7843379675705</v>
      </c>
      <c r="I40" s="43">
        <f>('[6]17_18 fleet_v3'!$D113+'[6]17_18 fleet_v3'!$D128)*'Motorcycle Supporting Data'!I$32</f>
        <v>9713.1638641012178</v>
      </c>
      <c r="J40" s="43">
        <f ca="1">$I40*('Motorcycle Supporting Data'!J19/'Motorcycle Supporting Data'!$I19)</f>
        <v>10424.716571828963</v>
      </c>
      <c r="K40" s="43">
        <f ca="1">$I40*('Motorcycle Supporting Data'!K19/'Motorcycle Supporting Data'!$I19)</f>
        <v>10835.110952343375</v>
      </c>
      <c r="L40" s="43">
        <f ca="1">$I40*('Motorcycle Supporting Data'!L19/'Motorcycle Supporting Data'!$I19)</f>
        <v>11127.503268211878</v>
      </c>
      <c r="M40" s="43">
        <f ca="1">$I40*('Motorcycle Supporting Data'!M19/'Motorcycle Supporting Data'!$I19)</f>
        <v>11205.884567977193</v>
      </c>
      <c r="N40" s="43">
        <f ca="1">$I40*('Motorcycle Supporting Data'!N19/'Motorcycle Supporting Data'!$I19)</f>
        <v>11222.161915573748</v>
      </c>
      <c r="O40" s="43">
        <f ca="1">$I40*('Motorcycle Supporting Data'!O19/'Motorcycle Supporting Data'!$I19)</f>
        <v>11619.524085657251</v>
      </c>
      <c r="P40" s="43">
        <f ca="1">$I40*('Motorcycle Supporting Data'!P19/'Motorcycle Supporting Data'!$I19)</f>
        <v>11993.63554156447</v>
      </c>
      <c r="Q40" s="44">
        <f ca="1">$I40*('Motorcycle Supporting Data'!Q19/'Motorcycle Supporting Data'!$I19)</f>
        <v>12354.221115057948</v>
      </c>
    </row>
    <row r="41" spans="3:17" ht="16" thickBot="1" x14ac:dyDescent="0.4">
      <c r="C41" s="25" t="s">
        <v>13</v>
      </c>
      <c r="D41" s="45">
        <f>('[1]12_13 fleet'!$D112+'[1]12_13 fleet'!$D127)*'Motorcycle Supporting Data'!D$32</f>
        <v>4130.1817654606475</v>
      </c>
      <c r="E41" s="46">
        <f>('[2]13_14 fleet'!$D113+'[2]13_14 fleet'!$D128)*'Motorcycle Supporting Data'!E$32</f>
        <v>4152.5432797801568</v>
      </c>
      <c r="F41" s="46">
        <f>('[3]14_15 fleet'!$D113+'[3]14_15 fleet'!$D128)*'Motorcycle Supporting Data'!F$32</f>
        <v>4212.1934596516967</v>
      </c>
      <c r="G41" s="46">
        <f>('[4]15_16 fleet'!$D113+'[4]15_16 fleet'!$D128)*'Motorcycle Supporting Data'!G$32</f>
        <v>4294.5009199486603</v>
      </c>
      <c r="H41" s="46">
        <f>('[5]16_17 fleet_v2'!$D113+'[5]16_17 fleet_v2'!$D128)*'Motorcycle Supporting Data'!H$32</f>
        <v>4447.7220323057236</v>
      </c>
      <c r="I41" s="46">
        <f>('[6]17_18 fleet_v3'!$D114+'[6]17_18 fleet_v3'!$D129)*'Motorcycle Supporting Data'!I$32</f>
        <v>4529.066772856444</v>
      </c>
      <c r="J41" s="46">
        <f ca="1">$I41*('Motorcycle Supporting Data'!J20/'Motorcycle Supporting Data'!$I20)</f>
        <v>4567.5514942100581</v>
      </c>
      <c r="K41" s="46">
        <f ca="1">$I41*('Motorcycle Supporting Data'!K20/'Motorcycle Supporting Data'!$I20)</f>
        <v>4537.6102389777325</v>
      </c>
      <c r="L41" s="46">
        <f ca="1">$I41*('Motorcycle Supporting Data'!L20/'Motorcycle Supporting Data'!$I20)</f>
        <v>4462.4057474433048</v>
      </c>
      <c r="M41" s="46">
        <f ca="1">$I41*('Motorcycle Supporting Data'!M20/'Motorcycle Supporting Data'!$I20)</f>
        <v>4307.7252175731874</v>
      </c>
      <c r="N41" s="46">
        <f ca="1">$I41*('Motorcycle Supporting Data'!N20/'Motorcycle Supporting Data'!$I20)</f>
        <v>4136.9524326415867</v>
      </c>
      <c r="O41" s="46">
        <f ca="1">$I41*('Motorcycle Supporting Data'!O20/'Motorcycle Supporting Data'!$I20)</f>
        <v>4107.5209292324753</v>
      </c>
      <c r="P41" s="46">
        <f ca="1">$I41*('Motorcycle Supporting Data'!P20/'Motorcycle Supporting Data'!$I20)</f>
        <v>4065.4879646611143</v>
      </c>
      <c r="Q41" s="47">
        <f ca="1">$I41*('Motorcycle Supporting Data'!Q20/'Motorcycle Supporting Data'!$I20)</f>
        <v>4015.3947403163252</v>
      </c>
    </row>
    <row r="42" spans="3:17" ht="16.5" thickTop="1" thickBot="1" x14ac:dyDescent="0.4">
      <c r="C42" s="20" t="s">
        <v>24</v>
      </c>
      <c r="D42" s="48">
        <f t="shared" ref="D42:N42" si="2">SUM(D28:D41)</f>
        <v>143948.00000000003</v>
      </c>
      <c r="E42" s="48">
        <f t="shared" si="2"/>
        <v>148565</v>
      </c>
      <c r="F42" s="48">
        <f t="shared" si="2"/>
        <v>154673.00000000003</v>
      </c>
      <c r="G42" s="48">
        <f t="shared" ref="G42:H42" si="3">SUM(G28:G41)</f>
        <v>160194</v>
      </c>
      <c r="H42" s="48">
        <f t="shared" si="3"/>
        <v>166050</v>
      </c>
      <c r="I42" s="48">
        <f t="shared" si="2"/>
        <v>172326</v>
      </c>
      <c r="J42" s="48">
        <f t="shared" ca="1" si="2"/>
        <v>182236.43982781417</v>
      </c>
      <c r="K42" s="48">
        <f t="shared" ca="1" si="2"/>
        <v>187923.00817539691</v>
      </c>
      <c r="L42" s="48">
        <f t="shared" ca="1" si="2"/>
        <v>191531.01559157323</v>
      </c>
      <c r="M42" s="48">
        <f t="shared" ca="1" si="2"/>
        <v>191502.10051140265</v>
      </c>
      <c r="N42" s="48">
        <f t="shared" ca="1" si="2"/>
        <v>190395.53957127186</v>
      </c>
      <c r="O42" s="48">
        <f t="shared" ref="O42:Q42" ca="1" si="4">SUM(O28:O41)</f>
        <v>195772.8344696977</v>
      </c>
      <c r="P42" s="48">
        <f t="shared" ca="1" si="4"/>
        <v>200736.59300066423</v>
      </c>
      <c r="Q42" s="49">
        <f t="shared" ca="1" si="4"/>
        <v>205459.97581089893</v>
      </c>
    </row>
    <row r="43" spans="3:17" ht="16.5" thickTop="1" thickBot="1" x14ac:dyDescent="0.4">
      <c r="C43" s="31" t="s">
        <v>96</v>
      </c>
      <c r="D43" s="48">
        <f>'Motorcycle Supporting Data'!D31</f>
        <v>143948</v>
      </c>
      <c r="E43" s="48">
        <f>'Motorcycle Supporting Data'!E31</f>
        <v>148565</v>
      </c>
      <c r="F43" s="48">
        <f>'Motorcycle Supporting Data'!F31</f>
        <v>154673</v>
      </c>
      <c r="G43" s="48">
        <f>'Motorcycle Supporting Data'!G31</f>
        <v>160194</v>
      </c>
      <c r="H43" s="48">
        <f>'Motorcycle Supporting Data'!H31</f>
        <v>166050</v>
      </c>
      <c r="I43" s="48">
        <f>'Motorcycle Supporting Data'!I31</f>
        <v>172326</v>
      </c>
      <c r="J43" s="62"/>
      <c r="K43" s="62"/>
      <c r="L43" s="62"/>
      <c r="M43" s="62"/>
      <c r="N43" s="62"/>
      <c r="O43" s="62"/>
      <c r="P43" s="62"/>
      <c r="Q43" s="63"/>
    </row>
    <row r="44" spans="3:17" ht="13" thickTop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4:I29"/>
  <sheetViews>
    <sheetView workbookViewId="0">
      <selection activeCell="E40" sqref="E40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7"/>
      <c r="C5" s="22" t="s">
        <v>74</v>
      </c>
      <c r="D5" s="139" t="s">
        <v>73</v>
      </c>
      <c r="E5" s="134" t="s">
        <v>75</v>
      </c>
      <c r="F5" s="22" t="s">
        <v>76</v>
      </c>
      <c r="G5" s="139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('[1]12_13 fleet'!$D257+'[1]12_13 fleet'!$D272+'[1]12_13 fleet'!$D287+'[1]12_13 fleet'!$D302)/1000000</f>
        <v>1096.16898593</v>
      </c>
      <c r="D6" s="140">
        <f>('[1]12_13 fleet'!$D377+'[1]12_13 fleet'!$D392+'[1]12_13 fleet'!$D407+'[1]12_13 fleet'!$D422)/1000000</f>
        <v>299.25788582999996</v>
      </c>
      <c r="E6" s="135">
        <f>('[1]12_13 fleet'!$D$347+'[1]12_13 fleet'!$D$362)/1000000</f>
        <v>119.25522724</v>
      </c>
      <c r="F6" s="11">
        <f>('[1]12_13 fleet'!$D227+'[1]12_13 fleet'!$D242)/1000000</f>
        <v>8.9827640399999993</v>
      </c>
      <c r="G6" s="140">
        <f>('[1]12_13 fleet'!$D317+'[1]12_13 fleet'!$D332)/1000000</f>
        <v>11.037777469999998</v>
      </c>
      <c r="H6" s="28">
        <f>[7]Northland!$I$8/1000000</f>
        <v>1671.6472900000001</v>
      </c>
      <c r="I6" s="11">
        <f>SUM(C6:G6)</f>
        <v>1534.7026405099998</v>
      </c>
    </row>
    <row r="7" spans="2:9" ht="15.5" x14ac:dyDescent="0.35">
      <c r="B7" s="27" t="s">
        <v>1</v>
      </c>
      <c r="C7" s="13">
        <f>('[1]12_13 fleet'!$D258+'[1]12_13 fleet'!$D273+'[1]12_13 fleet'!$D288+'[1]12_13 fleet'!$D303)/1000000</f>
        <v>10377.47024375</v>
      </c>
      <c r="D7" s="29">
        <f>('[1]12_13 fleet'!$D378+'[1]12_13 fleet'!$D393+'[1]12_13 fleet'!$D408+'[1]12_13 fleet'!$D423)/1000000</f>
        <v>1422.6388882399999</v>
      </c>
      <c r="E7" s="136">
        <f>('[1]12_13 fleet'!$D$348+'[1]12_13 fleet'!$D$363)/1000000</f>
        <v>656.20984524000005</v>
      </c>
      <c r="F7" s="13">
        <f>('[1]12_13 fleet'!$D228+'[1]12_13 fleet'!$D243)/1000000</f>
        <v>85.141566289999986</v>
      </c>
      <c r="G7" s="29">
        <f>('[1]12_13 fleet'!$D318+'[1]12_13 fleet'!$D333)/1000000</f>
        <v>94.899452089999997</v>
      </c>
      <c r="H7" s="29">
        <f>[7]Auckland!$I$8/1000000</f>
        <v>12716.727027000001</v>
      </c>
      <c r="I7" s="13">
        <f t="shared" ref="I7:I20" si="0">SUM(C7:G7)</f>
        <v>12636.359995610001</v>
      </c>
    </row>
    <row r="8" spans="2:9" ht="15.5" x14ac:dyDescent="0.35">
      <c r="B8" s="27" t="s">
        <v>2</v>
      </c>
      <c r="C8" s="13">
        <f>('[1]12_13 fleet'!$D259+'[1]12_13 fleet'!$D274+'[1]12_13 fleet'!$D289+'[1]12_13 fleet'!$D304)/1000000</f>
        <v>3107.9199486099997</v>
      </c>
      <c r="D8" s="29">
        <f>('[1]12_13 fleet'!$D379+'[1]12_13 fleet'!$D394+'[1]12_13 fleet'!$D409+'[1]12_13 fleet'!$D424)/1000000</f>
        <v>711.6732978199999</v>
      </c>
      <c r="E8" s="136">
        <f>('[1]12_13 fleet'!$D$349+'[1]12_13 fleet'!$D$364)/1000000</f>
        <v>275.50940272000003</v>
      </c>
      <c r="F8" s="13">
        <f>('[1]12_13 fleet'!$D229+'[1]12_13 fleet'!$D244)/1000000</f>
        <v>15.47374836</v>
      </c>
      <c r="G8" s="29">
        <f>('[1]12_13 fleet'!$D319+'[1]12_13 fleet'!$D334)/1000000</f>
        <v>35.801087590000002</v>
      </c>
      <c r="H8" s="29">
        <f>[7]Waikato!$I$8/1000000</f>
        <v>5330.0979129999996</v>
      </c>
      <c r="I8" s="13">
        <f t="shared" si="0"/>
        <v>4146.3774850999998</v>
      </c>
    </row>
    <row r="9" spans="2:9" ht="15.5" x14ac:dyDescent="0.35">
      <c r="B9" s="27" t="s">
        <v>3</v>
      </c>
      <c r="C9" s="13">
        <f>('[1]12_13 fleet'!$D260+'[1]12_13 fleet'!$D275+'[1]12_13 fleet'!$D290+'[1]12_13 fleet'!$D305)/1000000</f>
        <v>2234.6044249700003</v>
      </c>
      <c r="D9" s="29">
        <f>('[1]12_13 fleet'!$D380+'[1]12_13 fleet'!$D395+'[1]12_13 fleet'!$D410+'[1]12_13 fleet'!$D425)/1000000</f>
        <v>562.88377503999993</v>
      </c>
      <c r="E9" s="136">
        <f>('[1]12_13 fleet'!$D$350+'[1]12_13 fleet'!$D$365)/1000000</f>
        <v>250.6318148</v>
      </c>
      <c r="F9" s="13">
        <f>('[1]12_13 fleet'!$D230+'[1]12_13 fleet'!$D245)/1000000</f>
        <v>15.153014070000001</v>
      </c>
      <c r="G9" s="29">
        <f>('[1]12_13 fleet'!$D320+'[1]12_13 fleet'!$D335)/1000000</f>
        <v>28.811398929999999</v>
      </c>
      <c r="H9" s="29">
        <f>'[7]Bay of Plenty'!$I$8/1000000</f>
        <v>2713.3097499999999</v>
      </c>
      <c r="I9" s="13">
        <f t="shared" si="0"/>
        <v>3092.0844278100003</v>
      </c>
    </row>
    <row r="10" spans="2:9" ht="15.5" x14ac:dyDescent="0.35">
      <c r="B10" s="27" t="s">
        <v>4</v>
      </c>
      <c r="C10" s="13">
        <f>('[1]12_13 fleet'!$D261+'[1]12_13 fleet'!$D276+'[1]12_13 fleet'!$D291+'[1]12_13 fleet'!$D306)/1000000</f>
        <v>232.52158877000002</v>
      </c>
      <c r="D10" s="29">
        <f>('[1]12_13 fleet'!$D381+'[1]12_13 fleet'!$D396+'[1]12_13 fleet'!$D411+'[1]12_13 fleet'!$D426)/1000000</f>
        <v>94.048874389999995</v>
      </c>
      <c r="E10" s="136">
        <f>('[1]12_13 fleet'!$D$351+'[1]12_13 fleet'!$D$366)/1000000</f>
        <v>32.438331779999999</v>
      </c>
      <c r="F10" s="13">
        <f>('[1]12_13 fleet'!$D231+'[1]12_13 fleet'!$D246)/1000000</f>
        <v>1.41817269</v>
      </c>
      <c r="G10" s="29">
        <f>('[1]12_13 fleet'!$D321+'[1]12_13 fleet'!$D336)/1000000</f>
        <v>2.5480988999999998</v>
      </c>
      <c r="H10" s="29">
        <f>[7]Gisborne!$I$8/1000000</f>
        <v>389.39441499999998</v>
      </c>
      <c r="I10" s="13">
        <f t="shared" si="0"/>
        <v>362.97506653000005</v>
      </c>
    </row>
    <row r="11" spans="2:9" ht="15.5" x14ac:dyDescent="0.35">
      <c r="B11" s="27" t="s">
        <v>5</v>
      </c>
      <c r="C11" s="13">
        <f>('[1]12_13 fleet'!$D262+'[1]12_13 fleet'!$D277+'[1]12_13 fleet'!$D292+'[1]12_13 fleet'!$D307)/1000000</f>
        <v>1010.5589608600001</v>
      </c>
      <c r="D11" s="29">
        <f>('[1]12_13 fleet'!$D382+'[1]12_13 fleet'!$D397+'[1]12_13 fleet'!$D412+'[1]12_13 fleet'!$D427)/1000000</f>
        <v>264.31095072000005</v>
      </c>
      <c r="E11" s="136">
        <f>('[1]12_13 fleet'!$D$352+'[1]12_13 fleet'!$D$367)/1000000</f>
        <v>102.42963590000001</v>
      </c>
      <c r="F11" s="13">
        <f>('[1]12_13 fleet'!$D232+'[1]12_13 fleet'!$D247)/1000000</f>
        <v>5.0300144399999995</v>
      </c>
      <c r="G11" s="29">
        <f>('[1]12_13 fleet'!$D322+'[1]12_13 fleet'!$D337)/1000000</f>
        <v>12.438172430000002</v>
      </c>
      <c r="H11" s="29">
        <f>'[7]Hawke''s Bay'!$I$8/1000000</f>
        <v>1473.708149</v>
      </c>
      <c r="I11" s="13">
        <f t="shared" si="0"/>
        <v>1394.76773435</v>
      </c>
    </row>
    <row r="12" spans="2:9" ht="15.5" x14ac:dyDescent="0.35">
      <c r="B12" s="27" t="s">
        <v>6</v>
      </c>
      <c r="C12" s="13">
        <f>('[1]12_13 fleet'!$D263+'[1]12_13 fleet'!$D278+'[1]12_13 fleet'!$D293+'[1]12_13 fleet'!$D308)/1000000</f>
        <v>756.73172989000011</v>
      </c>
      <c r="D12" s="29">
        <f>('[1]12_13 fleet'!$D383+'[1]12_13 fleet'!$D398+'[1]12_13 fleet'!$D413+'[1]12_13 fleet'!$D428)/1000000</f>
        <v>188.80193207999997</v>
      </c>
      <c r="E12" s="136">
        <f>('[1]12_13 fleet'!$D$353+'[1]12_13 fleet'!$D$368)/1000000</f>
        <v>87.38839148000001</v>
      </c>
      <c r="F12" s="13">
        <f>('[1]12_13 fleet'!$D233+'[1]12_13 fleet'!$D248)/1000000</f>
        <v>3.2511658900000002</v>
      </c>
      <c r="G12" s="29">
        <f>('[1]12_13 fleet'!$D323+'[1]12_13 fleet'!$D338)/1000000</f>
        <v>12.339600280000001</v>
      </c>
      <c r="H12" s="29">
        <f>[7]Taranaki!$I$8/1000000</f>
        <v>1036.331293</v>
      </c>
      <c r="I12" s="13">
        <f t="shared" si="0"/>
        <v>1048.5128196200003</v>
      </c>
    </row>
    <row r="13" spans="2:9" ht="15.5" x14ac:dyDescent="0.35">
      <c r="B13" s="27" t="s">
        <v>7</v>
      </c>
      <c r="C13" s="13">
        <f>('[1]12_13 fleet'!$D264+'[1]12_13 fleet'!$D279+'[1]12_13 fleet'!$D294+'[1]12_13 fleet'!$D309)/1000000</f>
        <v>1513.1962773099999</v>
      </c>
      <c r="D13" s="29">
        <f>('[1]12_13 fleet'!$D384+'[1]12_13 fleet'!$D399+'[1]12_13 fleet'!$D414+'[1]12_13 fleet'!$D429)/1000000</f>
        <v>388.52988801999999</v>
      </c>
      <c r="E13" s="136">
        <f>('[1]12_13 fleet'!$D$354+'[1]12_13 fleet'!$D$369)/1000000</f>
        <v>170.0921118</v>
      </c>
      <c r="F13" s="13">
        <f>('[1]12_13 fleet'!$D234+'[1]12_13 fleet'!$D249)/1000000</f>
        <v>7.1013834200000003</v>
      </c>
      <c r="G13" s="29">
        <f>('[1]12_13 fleet'!$D324+'[1]12_13 fleet'!$D339)/1000000</f>
        <v>22.195104570000002</v>
      </c>
      <c r="H13" s="29">
        <f>[7]Manawatu!$I$8/1000000</f>
        <v>2404.273936</v>
      </c>
      <c r="I13" s="13">
        <f t="shared" si="0"/>
        <v>2101.1147651199994</v>
      </c>
    </row>
    <row r="14" spans="2:9" ht="15.5" x14ac:dyDescent="0.35">
      <c r="B14" s="27" t="s">
        <v>8</v>
      </c>
      <c r="C14" s="13">
        <f>('[1]12_13 fleet'!$D265+'[1]12_13 fleet'!$D280+'[1]12_13 fleet'!$D295+'[1]12_13 fleet'!$D310)/1000000</f>
        <v>2992.0509175900002</v>
      </c>
      <c r="D14" s="29">
        <f>('[1]12_13 fleet'!$D385+'[1]12_13 fleet'!$D400+'[1]12_13 fleet'!$D415+'[1]12_13 fleet'!$D430)/1000000</f>
        <v>472.32698898000001</v>
      </c>
      <c r="E14" s="136">
        <f>('[1]12_13 fleet'!$D$355+'[1]12_13 fleet'!$D$370)/1000000</f>
        <v>139.16571021000001</v>
      </c>
      <c r="F14" s="13">
        <f>('[1]12_13 fleet'!$D235+'[1]12_13 fleet'!$D250)/1000000</f>
        <v>22.568238659999999</v>
      </c>
      <c r="G14" s="29">
        <f>('[1]12_13 fleet'!$D325+'[1]12_13 fleet'!$D340)/1000000</f>
        <v>44.655987570000001</v>
      </c>
      <c r="H14" s="29">
        <f>[7]Wellington!$I$8/1000000</f>
        <v>3506.9284680000001</v>
      </c>
      <c r="I14" s="13">
        <f t="shared" si="0"/>
        <v>3670.76784301</v>
      </c>
    </row>
    <row r="15" spans="2:9" ht="15.5" x14ac:dyDescent="0.35">
      <c r="B15" s="27" t="s">
        <v>9</v>
      </c>
      <c r="C15" s="13">
        <f>('[1]12_13 fleet'!$D266+'[1]12_13 fleet'!$D281+'[1]12_13 fleet'!$D296+'[1]12_13 fleet'!$D311)/1000000</f>
        <v>932.03582989000006</v>
      </c>
      <c r="D15" s="29">
        <f>('[1]12_13 fleet'!$D386+'[1]12_13 fleet'!$D401+'[1]12_13 fleet'!$D416+'[1]12_13 fleet'!$D431)/1000000</f>
        <v>273.43238465999997</v>
      </c>
      <c r="E15" s="136">
        <f>('[1]12_13 fleet'!$D$356+'[1]12_13 fleet'!$D$371)/1000000</f>
        <v>101.58157728</v>
      </c>
      <c r="F15" s="13">
        <f>('[1]12_13 fleet'!$D236+'[1]12_13 fleet'!$D251)/1000000</f>
        <v>6.0627251799999993</v>
      </c>
      <c r="G15" s="29">
        <f>('[1]12_13 fleet'!$D326+'[1]12_13 fleet'!$D341)/1000000</f>
        <v>18.781447470000003</v>
      </c>
      <c r="H15" s="29">
        <f>[7]TMN!$I$8/1000000</f>
        <v>1315.5026700000001</v>
      </c>
      <c r="I15" s="13">
        <f t="shared" si="0"/>
        <v>1331.89396448</v>
      </c>
    </row>
    <row r="16" spans="2:9" ht="15.5" x14ac:dyDescent="0.35">
      <c r="B16" s="27" t="s">
        <v>10</v>
      </c>
      <c r="C16" s="13">
        <f>('[1]12_13 fleet'!$D267+'[1]12_13 fleet'!$D282+'[1]12_13 fleet'!$D297+'[1]12_13 fleet'!$D312)/1000000</f>
        <v>222.06588176999998</v>
      </c>
      <c r="D16" s="29">
        <f>('[1]12_13 fleet'!$D387+'[1]12_13 fleet'!$D402+'[1]12_13 fleet'!$D417+'[1]12_13 fleet'!$D432)/1000000</f>
        <v>84.154133970000004</v>
      </c>
      <c r="E16" s="136">
        <f>('[1]12_13 fleet'!$D$357+'[1]12_13 fleet'!$D$372)/1000000</f>
        <v>30.194493310000002</v>
      </c>
      <c r="F16" s="13">
        <f>('[1]12_13 fleet'!$D237+'[1]12_13 fleet'!$D252)/1000000</f>
        <v>2.4450919500000001</v>
      </c>
      <c r="G16" s="29">
        <f>('[1]12_13 fleet'!$D327+'[1]12_13 fleet'!$D342)/1000000</f>
        <v>4.1535685200000003</v>
      </c>
      <c r="H16" s="29">
        <f>'[7]West Coast'!$I$8/1000000</f>
        <v>506.199251</v>
      </c>
      <c r="I16" s="13">
        <f t="shared" si="0"/>
        <v>343.01316952000002</v>
      </c>
    </row>
    <row r="17" spans="2:9" ht="15.5" x14ac:dyDescent="0.35">
      <c r="B17" s="27" t="s">
        <v>11</v>
      </c>
      <c r="C17" s="13">
        <f>('[1]12_13 fleet'!$D268+'[1]12_13 fleet'!$D283+'[1]12_13 fleet'!$D298+'[1]12_13 fleet'!$D313)/1000000</f>
        <v>4397.6739792399994</v>
      </c>
      <c r="D17" s="29">
        <f>('[1]12_13 fleet'!$D388+'[1]12_13 fleet'!$D403+'[1]12_13 fleet'!$D418+'[1]12_13 fleet'!$D433)/1000000</f>
        <v>987.34347714000012</v>
      </c>
      <c r="E17" s="136">
        <f>('[1]12_13 fleet'!$D$358+'[1]12_13 fleet'!$D$373)/1000000</f>
        <v>423.54380398000001</v>
      </c>
      <c r="F17" s="13">
        <f>('[1]12_13 fleet'!$D238+'[1]12_13 fleet'!$D253)/1000000</f>
        <v>44.574222779999999</v>
      </c>
      <c r="G17" s="29">
        <f>('[1]12_13 fleet'!$D328+'[1]12_13 fleet'!$D343)/1000000</f>
        <v>55.113997829999995</v>
      </c>
      <c r="H17" s="29">
        <f>[7]Canterbury!$I$8/1000000</f>
        <v>5470.6833569999999</v>
      </c>
      <c r="I17" s="13">
        <f t="shared" si="0"/>
        <v>5908.2494809699992</v>
      </c>
    </row>
    <row r="18" spans="2:9" ht="15.5" x14ac:dyDescent="0.35">
      <c r="B18" s="27" t="s">
        <v>12</v>
      </c>
      <c r="C18" s="13">
        <f>('[1]12_13 fleet'!$D269+'[1]12_13 fleet'!$D284+'[1]12_13 fleet'!$D299+'[1]12_13 fleet'!$D314)/1000000</f>
        <v>1301.92603009</v>
      </c>
      <c r="D18" s="29">
        <f>('[1]12_13 fleet'!$D389+'[1]12_13 fleet'!$D404+'[1]12_13 fleet'!$D419+'[1]12_13 fleet'!$D434)/1000000</f>
        <v>319.05627440999996</v>
      </c>
      <c r="E18" s="136">
        <f>('[1]12_13 fleet'!$D$359+'[1]12_13 fleet'!$D$374)/1000000</f>
        <v>111.32941471000001</v>
      </c>
      <c r="F18" s="13">
        <f>('[1]12_13 fleet'!$D239+'[1]12_13 fleet'!$D254)/1000000</f>
        <v>15.092960029999999</v>
      </c>
      <c r="G18" s="29">
        <f>('[1]12_13 fleet'!$D329+'[1]12_13 fleet'!$D344)/1000000</f>
        <v>15.463089849999999</v>
      </c>
      <c r="H18" s="29">
        <f>[7]Otago!$I$8/1000000</f>
        <v>2195.4226709999998</v>
      </c>
      <c r="I18" s="13">
        <f t="shared" si="0"/>
        <v>1762.8677690900001</v>
      </c>
    </row>
    <row r="19" spans="2:9" ht="16" thickBot="1" x14ac:dyDescent="0.4">
      <c r="B19" s="27" t="s">
        <v>13</v>
      </c>
      <c r="C19" s="15">
        <f>('[1]12_13 fleet'!$D270+'[1]12_13 fleet'!$D285+'[1]12_13 fleet'!$D300+'[1]12_13 fleet'!$D315)/1000000</f>
        <v>700.36444098000004</v>
      </c>
      <c r="D19" s="141">
        <f>('[1]12_13 fleet'!$D390+'[1]12_13 fleet'!$D405+'[1]12_13 fleet'!$D420+'[1]12_13 fleet'!$D435)/1000000</f>
        <v>228.98558686000001</v>
      </c>
      <c r="E19" s="137">
        <f>('[1]12_13 fleet'!$D$360+'[1]12_13 fleet'!$D$375)/1000000</f>
        <v>90.927263409999995</v>
      </c>
      <c r="F19" s="15">
        <f>('[1]12_13 fleet'!$D240+'[1]12_13 fleet'!$D255)/1000000</f>
        <v>7.2471078500000008</v>
      </c>
      <c r="G19" s="141">
        <f>('[1]12_13 fleet'!$D330+'[1]12_13 fleet'!$D345)/1000000</f>
        <v>7.5318932399999996</v>
      </c>
      <c r="H19" s="29">
        <f>[7]Southland!$I$8/1000000</f>
        <v>1133.1154710000001</v>
      </c>
      <c r="I19" s="13">
        <f t="shared" si="0"/>
        <v>1035.05629234</v>
      </c>
    </row>
    <row r="20" spans="2:9" ht="34.5" customHeight="1" thickTop="1" thickBot="1" x14ac:dyDescent="0.4">
      <c r="B20" s="64" t="s">
        <v>20</v>
      </c>
      <c r="C20" s="9">
        <f>(SUM('[1]12_13 fleet'!$D$256:$D$270)+SUM('[1]12_13 fleet'!$D$271:$D$285)+SUM('[1]12_13 fleet'!$D$286:$D$300)+SUM('[1]12_13 fleet'!$D$301:$D$315))/1000000</f>
        <v>30876.519344820001</v>
      </c>
      <c r="D20" s="142">
        <f>(SUM('[1]12_13 fleet'!$D$376:$D$390)+SUM('[1]12_13 fleet'!$D$391:$D$405)+SUM('[1]12_13 fleet'!$D$406:$D$420)+SUM('[1]12_13 fleet'!$D$421:$D$435))/1000000</f>
        <v>6297.7921660900001</v>
      </c>
      <c r="E20" s="21">
        <f>SUM('[1]12_13 fleet'!$D$346:$D$375)/1000000</f>
        <v>2625.57842291</v>
      </c>
      <c r="F20" s="9">
        <f>(SUM('[1]12_13 fleet'!$D$226:$D$240)+SUM('[1]12_13 fleet'!$D$241:$D$255))/1000000</f>
        <v>245.25361277999997</v>
      </c>
      <c r="G20" s="142">
        <f>(SUM('[1]12_13 fleet'!$D$316:$D$345))/1000000</f>
        <v>385.37804679999999</v>
      </c>
      <c r="H20" s="21"/>
      <c r="I20" s="9">
        <f t="shared" si="0"/>
        <v>40430.521593400001</v>
      </c>
    </row>
    <row r="21" spans="2:9" ht="32" thickTop="1" thickBot="1" x14ac:dyDescent="0.4">
      <c r="B21" s="64" t="s">
        <v>23</v>
      </c>
      <c r="C21" s="9">
        <f t="shared" ref="C21:H21" si="1">SUM(C6:C19)</f>
        <v>30875.289239649996</v>
      </c>
      <c r="D21" s="143">
        <f t="shared" si="1"/>
        <v>6297.4443381599986</v>
      </c>
      <c r="E21" s="138">
        <f t="shared" si="1"/>
        <v>2590.6970238600002</v>
      </c>
      <c r="F21" s="9">
        <f t="shared" si="1"/>
        <v>239.54217564999999</v>
      </c>
      <c r="G21" s="143">
        <f t="shared" si="1"/>
        <v>365.77067674000006</v>
      </c>
      <c r="H21" s="9">
        <f t="shared" si="1"/>
        <v>41863.341660999999</v>
      </c>
      <c r="I21" s="10"/>
    </row>
    <row r="22" spans="2:9" ht="16.5" thickTop="1" thickBot="1" x14ac:dyDescent="0.4">
      <c r="B22" s="144" t="s">
        <v>97</v>
      </c>
      <c r="C22" s="9">
        <f>('[1]12_13 fleet'!$D$256+'[1]12_13 fleet'!$D$271+'[1]12_13 fleet'!$D$286+'[1]12_13 fleet'!$D$301)/1000000</f>
        <v>1.2301051699999999</v>
      </c>
      <c r="D22" s="143">
        <f>('[1]12_13 fleet'!$D$376+'[1]12_13 fleet'!$D$391+'[1]12_13 fleet'!$D$406+'[1]12_13 fleet'!$D$421)/1000000</f>
        <v>0.34782793000000001</v>
      </c>
      <c r="E22" s="143">
        <f>('[1]12_13 fleet'!$D$346+'[1]12_13 fleet'!$D$361)/1000000</f>
        <v>34.881399049999999</v>
      </c>
      <c r="F22" s="9">
        <f>('[1]12_13 fleet'!$D$226+'[1]12_13 fleet'!$D$241)/1000000</f>
        <v>5.7114371300000002</v>
      </c>
      <c r="G22" s="143">
        <f>('[1]12_13 fleet'!$D$316+'[1]12_13 fleet'!$D$331)/1000000</f>
        <v>19.607370059999997</v>
      </c>
      <c r="H22" s="10"/>
      <c r="I22" s="10"/>
    </row>
    <row r="23" spans="2:9" ht="32" thickTop="1" thickBot="1" x14ac:dyDescent="0.4">
      <c r="B23" s="64" t="s">
        <v>99</v>
      </c>
      <c r="C23" s="9">
        <f>C21+C22</f>
        <v>30876.519344819997</v>
      </c>
      <c r="D23" s="143">
        <f>D21+D22</f>
        <v>6297.7921660899983</v>
      </c>
      <c r="E23" s="143">
        <f>E21+E22</f>
        <v>2625.57842291</v>
      </c>
      <c r="F23" s="9">
        <f>F21+F22</f>
        <v>245.25361278</v>
      </c>
      <c r="G23" s="143">
        <f>G21+G22</f>
        <v>385.37804680000005</v>
      </c>
      <c r="H23" s="10"/>
      <c r="I23" s="10"/>
    </row>
    <row r="24" spans="2:9" ht="13" thickTop="1" x14ac:dyDescent="0.25"/>
    <row r="29" spans="2:9" x14ac:dyDescent="0.25">
      <c r="B29" s="19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K30"/>
  <sheetViews>
    <sheetView workbookViewId="0">
      <selection activeCell="F42" sqref="F42"/>
    </sheetView>
  </sheetViews>
  <sheetFormatPr defaultRowHeight="12.5" x14ac:dyDescent="0.25"/>
  <cols>
    <col min="2" max="2" width="21.54296875" customWidth="1"/>
    <col min="3" max="11" width="17.81640625" customWidth="1"/>
  </cols>
  <sheetData>
    <row r="1" spans="2:11" x14ac:dyDescent="0.25">
      <c r="H1">
        <v>0.5</v>
      </c>
    </row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2012-13 Data'!C6*C$22*$J6</f>
        <v>1154.0786871360624</v>
      </c>
      <c r="D6" s="11">
        <f>'Original 2012-13 Data'!D6*D$22*$J6</f>
        <v>311.82149173383903</v>
      </c>
      <c r="E6" s="11">
        <f>'Original 2012-13 Data'!E6*E$22*$J6</f>
        <v>126.51769458108933</v>
      </c>
      <c r="F6" s="11">
        <f>'Original 2012-13 Data'!F6*F$22*$J6</f>
        <v>9.7590652962429942</v>
      </c>
      <c r="G6" s="11">
        <f>'Original 2012-13 Data'!G6*G$22*$J6</f>
        <v>12.256338036699967</v>
      </c>
      <c r="H6" s="11">
        <f>'Original 2012-13 Data'!H6*'Original 2012-13 Data'!$I$20/'Original 2012-13 Data'!$H$21</f>
        <v>1614.4332767839337</v>
      </c>
      <c r="I6" s="11">
        <f>SUM(C6:G6)</f>
        <v>1614.4332767839339</v>
      </c>
      <c r="J6" s="12">
        <v>1.050751777165045</v>
      </c>
      <c r="K6" s="12">
        <f>J6*H6/I6</f>
        <v>1.050751777165045</v>
      </c>
    </row>
    <row r="7" spans="2:11" ht="15.5" x14ac:dyDescent="0.35">
      <c r="B7" s="24" t="s">
        <v>1</v>
      </c>
      <c r="C7" s="13">
        <f>'Original 2012-13 Data'!C7*C$22*$J7</f>
        <v>10087.405292093019</v>
      </c>
      <c r="D7" s="13">
        <f>'Original 2012-13 Data'!D7*D$22*$J7</f>
        <v>1368.6272430920972</v>
      </c>
      <c r="E7" s="13">
        <f>'Original 2012-13 Data'!E7*E$22*$J7</f>
        <v>642.75675605882645</v>
      </c>
      <c r="F7" s="13">
        <f>'Original 2012-13 Data'!F7*F$22*$J7</f>
        <v>85.402371473777777</v>
      </c>
      <c r="G7" s="13">
        <f>'Original 2012-13 Data'!G7*G$22*$J7</f>
        <v>97.291044179389033</v>
      </c>
      <c r="H7" s="13">
        <f>'Original 2012-13 Data'!H7*'Original 2012-13 Data'!$I$20/'Original 2012-13 Data'!$H$21</f>
        <v>12281.482706897112</v>
      </c>
      <c r="I7" s="13">
        <f t="shared" ref="I7:I19" si="0">SUM(C7:G7)</f>
        <v>12281.48270689711</v>
      </c>
      <c r="J7" s="14">
        <v>0.97013058414043973</v>
      </c>
      <c r="K7" s="14">
        <f t="shared" ref="K7:K19" si="1">J7*H7/I7</f>
        <v>0.97013058414043996</v>
      </c>
    </row>
    <row r="8" spans="2:11" ht="15.5" x14ac:dyDescent="0.35">
      <c r="B8" s="24" t="s">
        <v>2</v>
      </c>
      <c r="C8" s="13">
        <f>'Original 2012-13 Data'!C8*C$22*$J8</f>
        <v>3861.0172577983817</v>
      </c>
      <c r="D8" s="13">
        <f>'Original 2012-13 Data'!D8*D$22*$J8</f>
        <v>875.01424041411758</v>
      </c>
      <c r="E8" s="13">
        <f>'Original 2012-13 Data'!E8*E$22*$J8</f>
        <v>344.892919704458</v>
      </c>
      <c r="F8" s="13">
        <f>'Original 2012-13 Data'!F8*F$22*$J8</f>
        <v>19.836624405115462</v>
      </c>
      <c r="G8" s="13">
        <f>'Original 2012-13 Data'!G8*G$22*$J8</f>
        <v>46.908260132153586</v>
      </c>
      <c r="H8" s="13">
        <f>'Original 2012-13 Data'!H8*'Original 2012-13 Data'!$I$20/'Original 2012-13 Data'!$H$21</f>
        <v>5147.6693024542255</v>
      </c>
      <c r="I8" s="13">
        <f t="shared" si="0"/>
        <v>5147.6693024542265</v>
      </c>
      <c r="J8" s="14">
        <v>1.239864260592058</v>
      </c>
      <c r="K8" s="14">
        <f t="shared" si="1"/>
        <v>1.2398642605920578</v>
      </c>
    </row>
    <row r="9" spans="2:11" ht="15.5" x14ac:dyDescent="0.35">
      <c r="B9" s="24" t="s">
        <v>3</v>
      </c>
      <c r="C9" s="13">
        <f>'Original 2012-13 Data'!C9*C$22*$J9</f>
        <v>1894.871315839719</v>
      </c>
      <c r="D9" s="13">
        <f>'Original 2012-13 Data'!D9*D$22*$J9</f>
        <v>472.38960087048571</v>
      </c>
      <c r="E9" s="13">
        <f>'Original 2012-13 Data'!E9*E$22*$J9</f>
        <v>214.15647055925635</v>
      </c>
      <c r="F9" s="13">
        <f>'Original 2012-13 Data'!F9*F$22*$J9</f>
        <v>13.259233392712881</v>
      </c>
      <c r="G9" s="13">
        <f>'Original 2012-13 Data'!G9*G$22*$J9</f>
        <v>25.767043995276101</v>
      </c>
      <c r="H9" s="13">
        <f>'Original 2012-13 Data'!H9*'Original 2012-13 Data'!$I$20/'Original 2012-13 Data'!$H$21</f>
        <v>2620.4436646574504</v>
      </c>
      <c r="I9" s="13">
        <f t="shared" si="0"/>
        <v>2620.44366465745</v>
      </c>
      <c r="J9" s="14">
        <v>0.84629405469358954</v>
      </c>
      <c r="K9" s="14">
        <f t="shared" si="1"/>
        <v>0.84629405469358965</v>
      </c>
    </row>
    <row r="10" spans="2:11" ht="15.5" x14ac:dyDescent="0.35">
      <c r="B10" s="24" t="s">
        <v>4</v>
      </c>
      <c r="C10" s="13">
        <f>'Original 2012-13 Data'!C10*C$22*$J10</f>
        <v>241.26432915694534</v>
      </c>
      <c r="D10" s="13">
        <f>'Original 2012-13 Data'!D10*D$22*$J10</f>
        <v>96.579725725227746</v>
      </c>
      <c r="E10" s="13">
        <f>'Original 2012-13 Data'!E10*E$22*$J10</f>
        <v>33.915973005218945</v>
      </c>
      <c r="F10" s="13">
        <f>'Original 2012-13 Data'!F10*F$22*$J10</f>
        <v>1.5184457280733668</v>
      </c>
      <c r="G10" s="13">
        <f>'Original 2012-13 Data'!G10*G$22*$J10</f>
        <v>2.7884785044479377</v>
      </c>
      <c r="H10" s="13">
        <f>'Original 2012-13 Data'!H10*'Original 2012-13 Data'!$I$20/'Original 2012-13 Data'!$H$21</f>
        <v>376.06695211991331</v>
      </c>
      <c r="I10" s="13">
        <f t="shared" si="0"/>
        <v>376.06695211991325</v>
      </c>
      <c r="J10" s="14">
        <v>1.03555234725318</v>
      </c>
      <c r="K10" s="14">
        <f t="shared" si="1"/>
        <v>1.0355523472531802</v>
      </c>
    </row>
    <row r="11" spans="2:11" ht="15.5" x14ac:dyDescent="0.35">
      <c r="B11" s="24" t="s">
        <v>5</v>
      </c>
      <c r="C11" s="13">
        <f>'Original 2012-13 Data'!C11*C$22*$J11</f>
        <v>1032.0209647336642</v>
      </c>
      <c r="D11" s="13">
        <f>'Original 2012-13 Data'!D11*D$22*$J11</f>
        <v>267.1434621820224</v>
      </c>
      <c r="E11" s="13">
        <f>'Original 2012-13 Data'!E11*E$22*$J11</f>
        <v>105.40675076508299</v>
      </c>
      <c r="F11" s="13">
        <f>'Original 2012-13 Data'!F11*F$22*$J11</f>
        <v>5.3007389387002126</v>
      </c>
      <c r="G11" s="13">
        <f>'Original 2012-13 Data'!G11*G$22*$J11</f>
        <v>13.396909433695859</v>
      </c>
      <c r="H11" s="13">
        <f>'Original 2012-13 Data'!H11*'Original 2012-13 Data'!$I$20/'Original 2012-13 Data'!$H$21</f>
        <v>1423.2688260531656</v>
      </c>
      <c r="I11" s="13">
        <f t="shared" si="0"/>
        <v>1423.2688260531656</v>
      </c>
      <c r="J11" s="14">
        <v>1.0192226940103815</v>
      </c>
      <c r="K11" s="14">
        <f t="shared" si="1"/>
        <v>1.0192226940103815</v>
      </c>
    </row>
    <row r="12" spans="2:11" ht="15.5" x14ac:dyDescent="0.35">
      <c r="B12" s="24" t="s">
        <v>6</v>
      </c>
      <c r="C12" s="13">
        <f>'Original 2012-13 Data'!C12*C$22*$J12</f>
        <v>722.68344640793782</v>
      </c>
      <c r="D12" s="13">
        <f>'Original 2012-13 Data'!D12*D$22*$J12</f>
        <v>178.44941470083754</v>
      </c>
      <c r="E12" s="13">
        <f>'Original 2012-13 Data'!E12*E$22*$J12</f>
        <v>84.096097549876319</v>
      </c>
      <c r="F12" s="13">
        <f>'Original 2012-13 Data'!F12*F$22*$J12</f>
        <v>3.203949144786765</v>
      </c>
      <c r="G12" s="13">
        <f>'Original 2012-13 Data'!G12*G$22*$J12</f>
        <v>12.428778271332048</v>
      </c>
      <c r="H12" s="13">
        <f>'Original 2012-13 Data'!H12*'Original 2012-13 Data'!$I$20/'Original 2012-13 Data'!$H$21</f>
        <v>1000.8616860747705</v>
      </c>
      <c r="I12" s="13">
        <f t="shared" si="0"/>
        <v>1000.8616860747704</v>
      </c>
      <c r="J12" s="14">
        <v>0.95312176146334637</v>
      </c>
      <c r="K12" s="14">
        <f t="shared" si="1"/>
        <v>0.95312176146334648</v>
      </c>
    </row>
    <row r="13" spans="2:11" ht="15.5" x14ac:dyDescent="0.35">
      <c r="B13" s="24" t="s">
        <v>7</v>
      </c>
      <c r="C13" s="13">
        <f>'Original 2012-13 Data'!C13*C$22*$J13</f>
        <v>1673.2667281691656</v>
      </c>
      <c r="D13" s="13">
        <f>'Original 2012-13 Data'!D13*D$22*$J13</f>
        <v>425.2035435345739</v>
      </c>
      <c r="E13" s="13">
        <f>'Original 2012-13 Data'!E13*E$22*$J13</f>
        <v>189.52653351064563</v>
      </c>
      <c r="F13" s="13">
        <f>'Original 2012-13 Data'!F13*F$22*$J13</f>
        <v>8.1031372449564749</v>
      </c>
      <c r="G13" s="13">
        <f>'Original 2012-13 Data'!G13*G$22*$J13</f>
        <v>25.885007357844472</v>
      </c>
      <c r="H13" s="13">
        <f>'Original 2012-13 Data'!H13*'Original 2012-13 Data'!$I$20/'Original 2012-13 Data'!$H$21</f>
        <v>2321.9849498171861</v>
      </c>
      <c r="I13" s="13">
        <f t="shared" si="0"/>
        <v>2321.9849498171861</v>
      </c>
      <c r="J13" s="14">
        <v>1.1036011237932162</v>
      </c>
      <c r="K13" s="14">
        <f t="shared" si="1"/>
        <v>1.1036011237932162</v>
      </c>
    </row>
    <row r="14" spans="2:11" ht="15.5" x14ac:dyDescent="0.35">
      <c r="B14" s="24" t="s">
        <v>8</v>
      </c>
      <c r="C14" s="13">
        <f>'Original 2012-13 Data'!C14*C$22*$J14</f>
        <v>2761.1490858956281</v>
      </c>
      <c r="D14" s="13">
        <f>'Original 2012-13 Data'!D14*D$22*$J14</f>
        <v>431.38612231513088</v>
      </c>
      <c r="E14" s="13">
        <f>'Original 2012-13 Data'!E14*E$22*$J14</f>
        <v>129.41036193266035</v>
      </c>
      <c r="F14" s="13">
        <f>'Original 2012-13 Data'!F14*F$22*$J14</f>
        <v>21.491110847137517</v>
      </c>
      <c r="G14" s="13">
        <f>'Original 2012-13 Data'!G14*G$22*$J14</f>
        <v>43.463206269811508</v>
      </c>
      <c r="H14" s="13">
        <f>'Original 2012-13 Data'!H14*'Original 2012-13 Data'!$I$20/'Original 2012-13 Data'!$H$21</f>
        <v>3386.8998872603684</v>
      </c>
      <c r="I14" s="13">
        <f t="shared" si="0"/>
        <v>3386.8998872603679</v>
      </c>
      <c r="J14" s="14">
        <v>0.92100735728184535</v>
      </c>
      <c r="K14" s="14">
        <f t="shared" si="1"/>
        <v>0.92100735728184546</v>
      </c>
    </row>
    <row r="15" spans="2:11" ht="15.5" x14ac:dyDescent="0.35">
      <c r="B15" s="24" t="s">
        <v>9</v>
      </c>
      <c r="C15" s="13">
        <f>'Original 2012-13 Data'!C15*C$22*$J15</f>
        <v>889.60446472660283</v>
      </c>
      <c r="D15" s="13">
        <f>'Original 2012-13 Data'!D15*D$22*$J15</f>
        <v>258.29549214058432</v>
      </c>
      <c r="E15" s="13">
        <f>'Original 2012-13 Data'!E15*E$22*$J15</f>
        <v>97.700150458941565</v>
      </c>
      <c r="F15" s="13">
        <f>'Original 2012-13 Data'!F15*F$22*$J15</f>
        <v>5.9713503082580308</v>
      </c>
      <c r="G15" s="13">
        <f>'Original 2012-13 Data'!G15*G$22*$J15</f>
        <v>18.906650307937248</v>
      </c>
      <c r="H15" s="13">
        <f>'Original 2012-13 Data'!H15*'Original 2012-13 Data'!$I$20/'Original 2012-13 Data'!$H$21</f>
        <v>1270.4781079423242</v>
      </c>
      <c r="I15" s="13">
        <f t="shared" si="0"/>
        <v>1270.478107942324</v>
      </c>
      <c r="J15" s="14">
        <v>0.95259120734654479</v>
      </c>
      <c r="K15" s="14">
        <f t="shared" si="1"/>
        <v>0.9525912073465449</v>
      </c>
    </row>
    <row r="16" spans="2:11" ht="15.5" x14ac:dyDescent="0.35">
      <c r="B16" s="24" t="s">
        <v>10</v>
      </c>
      <c r="C16" s="13">
        <f>'Original 2012-13 Data'!C16*C$22*$J16</f>
        <v>316.8010079485299</v>
      </c>
      <c r="D16" s="13">
        <f>'Original 2012-13 Data'!D16*D$22*$J16</f>
        <v>118.81812700051496</v>
      </c>
      <c r="E16" s="13">
        <f>'Original 2012-13 Data'!E16*E$22*$J16</f>
        <v>43.405863172759247</v>
      </c>
      <c r="F16" s="13">
        <f>'Original 2012-13 Data'!F16*F$22*$J16</f>
        <v>3.5994838845999344</v>
      </c>
      <c r="G16" s="13">
        <f>'Original 2012-13 Data'!G16*G$22*$J16</f>
        <v>6.2495289086035593</v>
      </c>
      <c r="H16" s="13">
        <f>'Original 2012-13 Data'!H16*'Original 2012-13 Data'!$I$20/'Original 2012-13 Data'!$H$21</f>
        <v>488.87401091500766</v>
      </c>
      <c r="I16" s="13">
        <f t="shared" si="0"/>
        <v>488.8740109150076</v>
      </c>
      <c r="J16" s="14">
        <v>1.4237932800423054</v>
      </c>
      <c r="K16" s="14">
        <f t="shared" si="1"/>
        <v>1.4237932800423057</v>
      </c>
    </row>
    <row r="17" spans="2:11" ht="15.5" x14ac:dyDescent="0.35">
      <c r="B17" s="24" t="s">
        <v>11</v>
      </c>
      <c r="C17" s="13">
        <f>'Original 2012-13 Data'!C17*C$22*$J17</f>
        <v>3934.2711971024746</v>
      </c>
      <c r="D17" s="13">
        <f>'Original 2012-13 Data'!D17*D$22*$J17</f>
        <v>874.20252355763523</v>
      </c>
      <c r="E17" s="13">
        <f>'Original 2012-13 Data'!E17*E$22*$J17</f>
        <v>381.81723753110873</v>
      </c>
      <c r="F17" s="13">
        <f>'Original 2012-13 Data'!F17*F$22*$J17</f>
        <v>41.14957598032106</v>
      </c>
      <c r="G17" s="13">
        <f>'Original 2012-13 Data'!G17*G$22*$J17</f>
        <v>52.00251695729056</v>
      </c>
      <c r="H17" s="13">
        <f>'Original 2012-13 Data'!H17*'Original 2012-13 Data'!$I$20/'Original 2012-13 Data'!$H$21</f>
        <v>5283.4430511288301</v>
      </c>
      <c r="I17" s="13">
        <f t="shared" si="0"/>
        <v>5283.4430511288301</v>
      </c>
      <c r="J17" s="14">
        <v>0.89286024508971273</v>
      </c>
      <c r="K17" s="14">
        <f t="shared" si="1"/>
        <v>0.89286024508971273</v>
      </c>
    </row>
    <row r="18" spans="2:11" ht="15.5" x14ac:dyDescent="0.35">
      <c r="B18" s="24" t="s">
        <v>12</v>
      </c>
      <c r="C18" s="13">
        <f>'Original 2012-13 Data'!C18*C$22*$J18</f>
        <v>1566.8697167848779</v>
      </c>
      <c r="D18" s="13">
        <f>'Original 2012-13 Data'!D18*D$22*$J18</f>
        <v>380.02870119088124</v>
      </c>
      <c r="E18" s="13">
        <f>'Original 2012-13 Data'!E18*E$22*$J18</f>
        <v>135.01202074409633</v>
      </c>
      <c r="F18" s="13">
        <f>'Original 2012-13 Data'!F18*F$22*$J18</f>
        <v>18.743958770408213</v>
      </c>
      <c r="G18" s="13">
        <f>'Original 2012-13 Data'!G18*G$22*$J18</f>
        <v>19.627457343040088</v>
      </c>
      <c r="H18" s="13">
        <f>'Original 2012-13 Data'!H18*'Original 2012-13 Data'!$I$20/'Original 2012-13 Data'!$H$21</f>
        <v>2120.2818548333039</v>
      </c>
      <c r="I18" s="13">
        <f t="shared" si="0"/>
        <v>2120.2818548333039</v>
      </c>
      <c r="J18" s="14">
        <v>1.2011266404671246</v>
      </c>
      <c r="K18" s="14">
        <f t="shared" si="1"/>
        <v>1.2011266404671246</v>
      </c>
    </row>
    <row r="19" spans="2:11" ht="16" thickBot="1" x14ac:dyDescent="0.4">
      <c r="B19" s="25" t="s">
        <v>13</v>
      </c>
      <c r="C19" s="15">
        <f>'Original 2012-13 Data'!C19*C$22*$J19</f>
        <v>741.20365373043114</v>
      </c>
      <c r="D19" s="15">
        <f>'Original 2012-13 Data'!D19*D$22*$J19</f>
        <v>239.84139513125811</v>
      </c>
      <c r="E19" s="15">
        <f>'Original 2012-13 Data'!E19*E$22*$J19</f>
        <v>96.966901647804377</v>
      </c>
      <c r="F19" s="15">
        <f>'Original 2012-13 Data'!F19*F$22*$J19</f>
        <v>7.914409359205445</v>
      </c>
      <c r="G19" s="15">
        <f>'Original 2012-13 Data'!G19*G$22*$J19</f>
        <v>8.4069565937113993</v>
      </c>
      <c r="H19" s="15">
        <f>'Original 2012-13 Data'!H19*'Original 2012-13 Data'!$I$20/'Original 2012-13 Data'!$H$21</f>
        <v>1094.3333164624103</v>
      </c>
      <c r="I19" s="15">
        <f t="shared" si="0"/>
        <v>1094.3333164624103</v>
      </c>
      <c r="J19" s="16">
        <v>1.056223160587924</v>
      </c>
      <c r="K19" s="16">
        <f t="shared" si="1"/>
        <v>1.056223160587924</v>
      </c>
    </row>
    <row r="20" spans="2:11" ht="32.25" customHeight="1" thickTop="1" thickBot="1" x14ac:dyDescent="0.4">
      <c r="B20" s="20" t="s">
        <v>20</v>
      </c>
      <c r="C20" s="4">
        <f>'Original 2012-13 Data'!C20</f>
        <v>30876.519344820001</v>
      </c>
      <c r="D20" s="4">
        <f>'Original 2012-13 Data'!D20</f>
        <v>6297.7921660900001</v>
      </c>
      <c r="E20" s="4">
        <f>'Original 2012-13 Data'!E20</f>
        <v>2625.57842291</v>
      </c>
      <c r="F20" s="4">
        <f>'Original 2012-13 Data'!F20</f>
        <v>245.25361277999997</v>
      </c>
      <c r="G20" s="4">
        <f>'Original 2012-13 Data'!G20</f>
        <v>385.37804679999999</v>
      </c>
      <c r="H20" s="5"/>
      <c r="I20" s="9">
        <f>SUM(C20:H20)</f>
        <v>40430.521593400001</v>
      </c>
    </row>
    <row r="21" spans="2:11" ht="32" thickTop="1" thickBot="1" x14ac:dyDescent="0.4">
      <c r="B21" s="31" t="s">
        <v>23</v>
      </c>
      <c r="C21" s="9">
        <f t="shared" ref="C21:H21" si="2">SUM(C6:C19)</f>
        <v>30876.507147523433</v>
      </c>
      <c r="D21" s="9">
        <f t="shared" si="2"/>
        <v>6297.8010835892064</v>
      </c>
      <c r="E21" s="9">
        <f t="shared" si="2"/>
        <v>2625.5817312218246</v>
      </c>
      <c r="F21" s="9">
        <f t="shared" si="2"/>
        <v>245.25345477429616</v>
      </c>
      <c r="G21" s="9">
        <f t="shared" si="2"/>
        <v>385.37817629123339</v>
      </c>
      <c r="H21" s="9">
        <f t="shared" si="2"/>
        <v>40430.521593400001</v>
      </c>
      <c r="I21" s="6"/>
    </row>
    <row r="22" spans="2:11" ht="16.5" thickTop="1" thickBot="1" x14ac:dyDescent="0.4">
      <c r="B22" s="8" t="s">
        <v>16</v>
      </c>
      <c r="C22" s="10">
        <v>1.0019770568774757</v>
      </c>
      <c r="D22" s="10">
        <v>0.99165432006029564</v>
      </c>
      <c r="E22" s="10">
        <v>1.0096566546423189</v>
      </c>
      <c r="F22" s="10">
        <v>1.0339465747918077</v>
      </c>
      <c r="G22" s="10">
        <v>1.0567663192899992</v>
      </c>
      <c r="H22" s="17"/>
    </row>
    <row r="23" spans="2:11" ht="16.5" thickTop="1" thickBot="1" x14ac:dyDescent="0.4">
      <c r="B23" s="8" t="s">
        <v>17</v>
      </c>
      <c r="C23" s="10">
        <f>C22*C20/C21</f>
        <v>1.0019774526933385</v>
      </c>
      <c r="D23" s="10">
        <f>D22*D20/D21</f>
        <v>0.99165291590724369</v>
      </c>
      <c r="E23" s="10">
        <f>E22*E20/E21</f>
        <v>1.0096553824446153</v>
      </c>
      <c r="F23" s="10">
        <f>F22*F20/F21</f>
        <v>1.0339472409168025</v>
      </c>
      <c r="G23" s="10">
        <f>G22*G20/G21</f>
        <v>1.0567659642050917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4:I24"/>
  <sheetViews>
    <sheetView workbookViewId="0">
      <selection activeCell="C16" sqref="C16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('[2]13_14 fleet'!$D259+'[2]13_14 fleet'!$D274+'[2]13_14 fleet'!$D289+'[2]13_14 fleet'!$D304)/1000000</f>
        <v>1103.2663973499998</v>
      </c>
      <c r="D6" s="11">
        <f>('[2]13_14 fleet'!$D379+'[2]13_14 fleet'!$D394+'[2]13_14 fleet'!$D409+'[2]13_14 fleet'!$D424)/1000000</f>
        <v>309.92002230999998</v>
      </c>
      <c r="E6" s="11">
        <f>('[2]13_14 fleet'!$D$349+'[2]13_14 fleet'!$D$364)/1000000</f>
        <v>123.45666708</v>
      </c>
      <c r="F6" s="11">
        <f>('[2]13_14 fleet'!$D229+'[2]13_14 fleet'!$D244)/1000000</f>
        <v>9.2465265199999997</v>
      </c>
      <c r="G6" s="11">
        <f>('[2]13_14 fleet'!$D319+'[2]13_14 fleet'!$D334)/1000000</f>
        <v>11.618619010000002</v>
      </c>
      <c r="H6" s="28">
        <f>[7]Northland!$J$8/1000000</f>
        <v>1732.2736199999999</v>
      </c>
      <c r="I6" s="13">
        <f>SUM(C6:G6)</f>
        <v>1557.5082322699998</v>
      </c>
    </row>
    <row r="7" spans="2:9" ht="15.5" x14ac:dyDescent="0.35">
      <c r="B7" s="27" t="s">
        <v>1</v>
      </c>
      <c r="C7" s="13">
        <f>('[2]13_14 fleet'!$D260+'[2]13_14 fleet'!$D275+'[2]13_14 fleet'!$D290+'[2]13_14 fleet'!$D305)/1000000</f>
        <v>10574.94692221</v>
      </c>
      <c r="D7" s="13">
        <f>('[2]13_14 fleet'!$D380+'[2]13_14 fleet'!$D395+'[2]13_14 fleet'!$D410+'[2]13_14 fleet'!$D425)/1000000</f>
        <v>1490.7872673699999</v>
      </c>
      <c r="E7" s="13">
        <f>('[2]13_14 fleet'!$D$350+'[2]13_14 fleet'!$D$365)/1000000</f>
        <v>638.40036466999993</v>
      </c>
      <c r="F7" s="13">
        <f>('[2]13_14 fleet'!$D230+'[2]13_14 fleet'!$D245)/1000000</f>
        <v>89.18228615999999</v>
      </c>
      <c r="G7" s="13">
        <f>('[2]13_14 fleet'!$D320+'[2]13_14 fleet'!$D335)/1000000</f>
        <v>99.337424330000005</v>
      </c>
      <c r="H7" s="29">
        <f>[7]Auckland!$J$8/1000000</f>
        <v>12690.381681999999</v>
      </c>
      <c r="I7" s="13">
        <f t="shared" ref="I7:I20" si="0">SUM(C7:G7)</f>
        <v>12892.65426474</v>
      </c>
    </row>
    <row r="8" spans="2:9" ht="15.5" x14ac:dyDescent="0.35">
      <c r="B8" s="27" t="s">
        <v>2</v>
      </c>
      <c r="C8" s="13">
        <f>('[2]13_14 fleet'!$D261+'[2]13_14 fleet'!$D276+'[2]13_14 fleet'!$D291+'[2]13_14 fleet'!$D306)/1000000</f>
        <v>3182.9878646999996</v>
      </c>
      <c r="D8" s="13">
        <f>('[2]13_14 fleet'!$D381+'[2]13_14 fleet'!$D396+'[2]13_14 fleet'!$D411+'[2]13_14 fleet'!$D426)/1000000</f>
        <v>759.65608105999991</v>
      </c>
      <c r="E8" s="13">
        <f>('[2]13_14 fleet'!$D$351+'[2]13_14 fleet'!$D$366)/1000000</f>
        <v>327.82911177999995</v>
      </c>
      <c r="F8" s="13">
        <f>('[2]13_14 fleet'!$D231+'[2]13_14 fleet'!$D246)/1000000</f>
        <v>17.06262572</v>
      </c>
      <c r="G8" s="13">
        <f>('[2]13_14 fleet'!$D321+'[2]13_14 fleet'!$D336)/1000000</f>
        <v>38.409289729999998</v>
      </c>
      <c r="H8" s="29">
        <f>[7]Waikato!$J$8/1000000</f>
        <v>5214.8454979999997</v>
      </c>
      <c r="I8" s="13">
        <f t="shared" si="0"/>
        <v>4325.9449729899989</v>
      </c>
    </row>
    <row r="9" spans="2:9" ht="15.5" x14ac:dyDescent="0.35">
      <c r="B9" s="27" t="s">
        <v>3</v>
      </c>
      <c r="C9" s="13">
        <f>('[2]13_14 fleet'!$D262+'[2]13_14 fleet'!$D277+'[2]13_14 fleet'!$D292+'[2]13_14 fleet'!$D307)/1000000</f>
        <v>2261.6166825800001</v>
      </c>
      <c r="D9" s="13">
        <f>('[2]13_14 fleet'!$D382+'[2]13_14 fleet'!$D397+'[2]13_14 fleet'!$D412+'[2]13_14 fleet'!$D427)/1000000</f>
        <v>587.17953299999999</v>
      </c>
      <c r="E9" s="13">
        <f>('[2]13_14 fleet'!$D$352+'[2]13_14 fleet'!$D$367)/1000000</f>
        <v>257.21101347999996</v>
      </c>
      <c r="F9" s="13">
        <f>('[2]13_14 fleet'!$D232+'[2]13_14 fleet'!$D247)/1000000</f>
        <v>16.572614689999998</v>
      </c>
      <c r="G9" s="13">
        <f>('[2]13_14 fleet'!$D322+'[2]13_14 fleet'!$D337)/1000000</f>
        <v>30.093679820000002</v>
      </c>
      <c r="H9" s="29">
        <f>'[7]Bay of Plenty'!$J$8/1000000</f>
        <v>2775.961366</v>
      </c>
      <c r="I9" s="13">
        <f t="shared" si="0"/>
        <v>3152.6735235700003</v>
      </c>
    </row>
    <row r="10" spans="2:9" ht="15.5" x14ac:dyDescent="0.35">
      <c r="B10" s="27" t="s">
        <v>4</v>
      </c>
      <c r="C10" s="13">
        <f>('[2]13_14 fleet'!$D263+'[2]13_14 fleet'!$D278+'[2]13_14 fleet'!$D293+'[2]13_14 fleet'!$D308)/1000000</f>
        <v>229.92081296999999</v>
      </c>
      <c r="D10" s="13">
        <f>('[2]13_14 fleet'!$D383+'[2]13_14 fleet'!$D398+'[2]13_14 fleet'!$D413+'[2]13_14 fleet'!$D428)/1000000</f>
        <v>98.588888560000001</v>
      </c>
      <c r="E10" s="13">
        <f>('[2]13_14 fleet'!$D$353+'[2]13_14 fleet'!$D$368)/1000000</f>
        <v>34.306600209999999</v>
      </c>
      <c r="F10" s="13">
        <f>('[2]13_14 fleet'!$D233+'[2]13_14 fleet'!$D248)/1000000</f>
        <v>1.77262177</v>
      </c>
      <c r="G10" s="13">
        <f>('[2]13_14 fleet'!$D323+'[2]13_14 fleet'!$D338)/1000000</f>
        <v>2.5278975799999999</v>
      </c>
      <c r="H10" s="29">
        <f>[7]Gisborne!$J$8/1000000</f>
        <v>390.23243200000002</v>
      </c>
      <c r="I10" s="13">
        <f t="shared" si="0"/>
        <v>367.11682108999997</v>
      </c>
    </row>
    <row r="11" spans="2:9" ht="15.5" x14ac:dyDescent="0.35">
      <c r="B11" s="27" t="s">
        <v>5</v>
      </c>
      <c r="C11" s="13">
        <f>('[2]13_14 fleet'!$D264+'[2]13_14 fleet'!$D279+'[2]13_14 fleet'!$D294+'[2]13_14 fleet'!$D309)/1000000</f>
        <v>1012.9943160600001</v>
      </c>
      <c r="D11" s="13">
        <f>('[2]13_14 fleet'!$D384+'[2]13_14 fleet'!$D399+'[2]13_14 fleet'!$D414+'[2]13_14 fleet'!$D429)/1000000</f>
        <v>272.62827456000002</v>
      </c>
      <c r="E11" s="13">
        <f>('[2]13_14 fleet'!$D$354+'[2]13_14 fleet'!$D$369)/1000000</f>
        <v>104.93288371999999</v>
      </c>
      <c r="F11" s="13">
        <f>('[2]13_14 fleet'!$D234+'[2]13_14 fleet'!$D249)/1000000</f>
        <v>5.5447610999999997</v>
      </c>
      <c r="G11" s="13">
        <f>('[2]13_14 fleet'!$D324+'[2]13_14 fleet'!$D339)/1000000</f>
        <v>12.29445095</v>
      </c>
      <c r="H11" s="29">
        <f>'[7]Hawke''s Bay'!$J$8/1000000</f>
        <v>1450.2928629999999</v>
      </c>
      <c r="I11" s="13">
        <f t="shared" si="0"/>
        <v>1408.3946863900003</v>
      </c>
    </row>
    <row r="12" spans="2:9" ht="15.5" x14ac:dyDescent="0.35">
      <c r="B12" s="27" t="s">
        <v>6</v>
      </c>
      <c r="C12" s="13">
        <f>('[2]13_14 fleet'!$D265+'[2]13_14 fleet'!$D280+'[2]13_14 fleet'!$D295+'[2]13_14 fleet'!$D310)/1000000</f>
        <v>768.26821362999999</v>
      </c>
      <c r="D12" s="13">
        <f>('[2]13_14 fleet'!$D385+'[2]13_14 fleet'!$D400+'[2]13_14 fleet'!$D415+'[2]13_14 fleet'!$D430)/1000000</f>
        <v>196.83668549000001</v>
      </c>
      <c r="E12" s="13">
        <f>('[2]13_14 fleet'!$D$355+'[2]13_14 fleet'!$D$370)/1000000</f>
        <v>90.744468870000006</v>
      </c>
      <c r="F12" s="13">
        <f>('[2]13_14 fleet'!$D235+'[2]13_14 fleet'!$D250)/1000000</f>
        <v>3.60423442</v>
      </c>
      <c r="G12" s="13">
        <f>('[2]13_14 fleet'!$D325+'[2]13_14 fleet'!$D340)/1000000</f>
        <v>12.450189269999999</v>
      </c>
      <c r="H12" s="29">
        <f>[7]Taranaki!$J$8/1000000</f>
        <v>1051.209196</v>
      </c>
      <c r="I12" s="13">
        <f t="shared" si="0"/>
        <v>1071.90379168</v>
      </c>
    </row>
    <row r="13" spans="2:9" ht="15.5" x14ac:dyDescent="0.35">
      <c r="B13" s="27" t="s">
        <v>7</v>
      </c>
      <c r="C13" s="13">
        <f>('[2]13_14 fleet'!$D266+'[2]13_14 fleet'!$D281+'[2]13_14 fleet'!$D296+'[2]13_14 fleet'!$D311)/1000000</f>
        <v>1523.25309735</v>
      </c>
      <c r="D13" s="13">
        <f>('[2]13_14 fleet'!$D386+'[2]13_14 fleet'!$D401+'[2]13_14 fleet'!$D416+'[2]13_14 fleet'!$D431)/1000000</f>
        <v>403.50998009000006</v>
      </c>
      <c r="E13" s="13">
        <f>('[2]13_14 fleet'!$D$356+'[2]13_14 fleet'!$D$371)/1000000</f>
        <v>173.10655398000003</v>
      </c>
      <c r="F13" s="13">
        <f>('[2]13_14 fleet'!$D236+'[2]13_14 fleet'!$D251)/1000000</f>
        <v>7.6101116299999996</v>
      </c>
      <c r="G13" s="13">
        <f>('[2]13_14 fleet'!$D326+'[2]13_14 fleet'!$D341)/1000000</f>
        <v>23.214453069999998</v>
      </c>
      <c r="H13" s="29">
        <f>[7]Manawatu!$J$8/1000000</f>
        <v>2403.3024249999999</v>
      </c>
      <c r="I13" s="13">
        <f t="shared" si="0"/>
        <v>2130.6941961200005</v>
      </c>
    </row>
    <row r="14" spans="2:9" ht="15.5" x14ac:dyDescent="0.35">
      <c r="B14" s="27" t="s">
        <v>8</v>
      </c>
      <c r="C14" s="13">
        <f>('[2]13_14 fleet'!$D267+'[2]13_14 fleet'!$D282+'[2]13_14 fleet'!$D297+'[2]13_14 fleet'!$D312)/1000000</f>
        <v>3014.79532277</v>
      </c>
      <c r="D14" s="13">
        <f>('[2]13_14 fleet'!$D387+'[2]13_14 fleet'!$D402+'[2]13_14 fleet'!$D417+'[2]13_14 fleet'!$D432)/1000000</f>
        <v>492.28692925000001</v>
      </c>
      <c r="E14" s="13">
        <f>('[2]13_14 fleet'!$D$357+'[2]13_14 fleet'!$D$372)/1000000</f>
        <v>142.97426765</v>
      </c>
      <c r="F14" s="13">
        <f>('[2]13_14 fleet'!$D237+'[2]13_14 fleet'!$D252)/1000000</f>
        <v>21.571414369999996</v>
      </c>
      <c r="G14" s="13">
        <f>('[2]13_14 fleet'!$D327+'[2]13_14 fleet'!$D342)/1000000</f>
        <v>45.376932310000001</v>
      </c>
      <c r="H14" s="29">
        <f>[7]Wellington!$J$8/1000000</f>
        <v>3522.3704229999998</v>
      </c>
      <c r="I14" s="13">
        <f t="shared" si="0"/>
        <v>3717.0048663500002</v>
      </c>
    </row>
    <row r="15" spans="2:9" ht="15.5" x14ac:dyDescent="0.35">
      <c r="B15" s="27" t="s">
        <v>9</v>
      </c>
      <c r="C15" s="13">
        <f>('[2]13_14 fleet'!$D268+'[2]13_14 fleet'!$D283+'[2]13_14 fleet'!$D298+'[2]13_14 fleet'!$D313)/1000000</f>
        <v>945.58211500000004</v>
      </c>
      <c r="D15" s="13">
        <f>('[2]13_14 fleet'!$D388+'[2]13_14 fleet'!$D403+'[2]13_14 fleet'!$D418+'[2]13_14 fleet'!$D433)/1000000</f>
        <v>284.17728204000002</v>
      </c>
      <c r="E15" s="13">
        <f>('[2]13_14 fleet'!$D$358+'[2]13_14 fleet'!$D$373)/1000000</f>
        <v>105.7022071</v>
      </c>
      <c r="F15" s="13">
        <f>('[2]13_14 fleet'!$D238+'[2]13_14 fleet'!$D253)/1000000</f>
        <v>6.6412620000000002</v>
      </c>
      <c r="G15" s="13">
        <f>('[2]13_14 fleet'!$D328+'[2]13_14 fleet'!$D343)/1000000</f>
        <v>18.175032530000003</v>
      </c>
      <c r="H15" s="29">
        <f>[7]TMN!$J$8/1000000</f>
        <v>1318.822028</v>
      </c>
      <c r="I15" s="13">
        <f t="shared" si="0"/>
        <v>1360.27789867</v>
      </c>
    </row>
    <row r="16" spans="2:9" ht="15.5" x14ac:dyDescent="0.35">
      <c r="B16" s="27" t="s">
        <v>10</v>
      </c>
      <c r="C16" s="13">
        <f>('[2]13_14 fleet'!$D269+'[2]13_14 fleet'!$D284+'[2]13_14 fleet'!$D299+'[2]13_14 fleet'!$D314)/1000000</f>
        <v>219.71272056999999</v>
      </c>
      <c r="D16" s="13">
        <f>('[2]13_14 fleet'!$D389+'[2]13_14 fleet'!$D404+'[2]13_14 fleet'!$D419+'[2]13_14 fleet'!$D434)/1000000</f>
        <v>84.623342490000013</v>
      </c>
      <c r="E16" s="13">
        <f>('[2]13_14 fleet'!$D$359+'[2]13_14 fleet'!$D$374)/1000000</f>
        <v>31.171791329999998</v>
      </c>
      <c r="F16" s="13">
        <f>('[2]13_14 fleet'!$D239+'[2]13_14 fleet'!$D254)/1000000</f>
        <v>2.2392782499999999</v>
      </c>
      <c r="G16" s="13">
        <f>('[2]13_14 fleet'!$D329+'[2]13_14 fleet'!$D344)/1000000</f>
        <v>4.2065244900000005</v>
      </c>
      <c r="H16" s="29">
        <f>'[7]West Coast'!$J$8/1000000</f>
        <v>499.07888200000002</v>
      </c>
      <c r="I16" s="13">
        <f t="shared" si="0"/>
        <v>341.95365713000001</v>
      </c>
    </row>
    <row r="17" spans="2:9" ht="15.5" x14ac:dyDescent="0.35">
      <c r="B17" s="27" t="s">
        <v>11</v>
      </c>
      <c r="C17" s="13">
        <f>('[2]13_14 fleet'!$D270+'[2]13_14 fleet'!$D285+'[2]13_14 fleet'!$D300+'[2]13_14 fleet'!$D315)/1000000</f>
        <v>4495.2779329299992</v>
      </c>
      <c r="D17" s="13">
        <f>('[2]13_14 fleet'!$D390+'[2]13_14 fleet'!$D405+'[2]13_14 fleet'!$D420+'[2]13_14 fleet'!$D435)/1000000</f>
        <v>1079.3601921999998</v>
      </c>
      <c r="E17" s="13">
        <f>('[2]13_14 fleet'!$D$360+'[2]13_14 fleet'!$D$375)/1000000</f>
        <v>447.87871174000003</v>
      </c>
      <c r="F17" s="13">
        <f>('[2]13_14 fleet'!$D240+'[2]13_14 fleet'!$D255)/1000000</f>
        <v>46.246714400000002</v>
      </c>
      <c r="G17" s="13">
        <f>('[2]13_14 fleet'!$D330+'[2]13_14 fleet'!$D345)/1000000</f>
        <v>56.694230730000001</v>
      </c>
      <c r="H17" s="29">
        <f>[7]Canterbury!$J$8/1000000</f>
        <v>5679.3279679999996</v>
      </c>
      <c r="I17" s="13">
        <f t="shared" si="0"/>
        <v>6125.4577819999986</v>
      </c>
    </row>
    <row r="18" spans="2:9" ht="15.5" x14ac:dyDescent="0.35">
      <c r="B18" s="27" t="s">
        <v>12</v>
      </c>
      <c r="C18" s="13">
        <f>('[2]13_14 fleet'!$D271+'[2]13_14 fleet'!$D286+'[2]13_14 fleet'!$D301+'[2]13_14 fleet'!$D316)/1000000</f>
        <v>1331.27683054</v>
      </c>
      <c r="D18" s="13">
        <f>('[2]13_14 fleet'!$D391+'[2]13_14 fleet'!$D406+'[2]13_14 fleet'!$D421+'[2]13_14 fleet'!$D436)/1000000</f>
        <v>334.30932286000001</v>
      </c>
      <c r="E18" s="13">
        <f>('[2]13_14 fleet'!$D$361+'[2]13_14 fleet'!$D$376)/1000000</f>
        <v>114.34468835</v>
      </c>
      <c r="F18" s="13">
        <f>('[2]13_14 fleet'!$D241+'[2]13_14 fleet'!$D256)/1000000</f>
        <v>15.62466659</v>
      </c>
      <c r="G18" s="13">
        <f>('[2]13_14 fleet'!$D331+'[2]13_14 fleet'!$D346)/1000000</f>
        <v>15.98023491</v>
      </c>
      <c r="H18" s="29">
        <f>[7]Otago!$J$8/1000000</f>
        <v>2238.5500280000001</v>
      </c>
      <c r="I18" s="13">
        <f t="shared" si="0"/>
        <v>1811.5357432500002</v>
      </c>
    </row>
    <row r="19" spans="2:9" ht="16" thickBot="1" x14ac:dyDescent="0.4">
      <c r="B19" s="27" t="s">
        <v>13</v>
      </c>
      <c r="C19" s="15">
        <f>('[2]13_14 fleet'!$D272+'[2]13_14 fleet'!$D287+'[2]13_14 fleet'!$D302+'[2]13_14 fleet'!$D317)/1000000</f>
        <v>701.34441085000003</v>
      </c>
      <c r="D19" s="15">
        <f>('[2]13_14 fleet'!$D392+'[2]13_14 fleet'!$D407+'[2]13_14 fleet'!$D422+'[2]13_14 fleet'!$D437)/1000000</f>
        <v>239.98818825000001</v>
      </c>
      <c r="E19" s="15">
        <f>('[2]13_14 fleet'!$D$362+'[2]13_14 fleet'!$D$377)/1000000</f>
        <v>94.059971879999992</v>
      </c>
      <c r="F19" s="15">
        <f>('[2]13_14 fleet'!$D242+'[2]13_14 fleet'!$D257)/1000000</f>
        <v>6.8135360899999995</v>
      </c>
      <c r="G19" s="15">
        <f>('[2]13_14 fleet'!$D332+'[2]13_14 fleet'!$D347)/1000000</f>
        <v>7.47437358</v>
      </c>
      <c r="H19" s="29">
        <f>[7]Southland!$J$8/1000000</f>
        <v>1146.4377730000001</v>
      </c>
      <c r="I19" s="13">
        <f t="shared" si="0"/>
        <v>1049.6804806500002</v>
      </c>
    </row>
    <row r="20" spans="2:9" ht="34.5" customHeight="1" thickTop="1" thickBot="1" x14ac:dyDescent="0.4">
      <c r="B20" s="20" t="s">
        <v>20</v>
      </c>
      <c r="C20" s="4">
        <f>(SUM('[2]13_14 fleet'!$D$258:$D$272)+SUM('[2]13_14 fleet'!$D$273:$D$287)+SUM('[2]13_14 fleet'!$D$288:$D$302)+SUM('[2]13_14 fleet'!$D$303:$D$317))/1000000</f>
        <v>31365.88448004</v>
      </c>
      <c r="D20" s="4">
        <f>(SUM('[2]13_14 fleet'!$D$378:$D$392)+SUM('[2]13_14 fleet'!$D$393:$D$407)+SUM('[2]13_14 fleet'!$D$408:$D$422)+SUM('[2]13_14 fleet'!$D$423:$D$437))/1000000</f>
        <v>6634.1476998900016</v>
      </c>
      <c r="E20" s="4">
        <f>SUM('[2]13_14 fleet'!$D$348:$D$377)/1000000</f>
        <v>2725.0880267399998</v>
      </c>
      <c r="F20" s="4">
        <f>(SUM('[2]13_14 fleet'!$D$228:$D$242)+SUM('[2]13_14 fleet'!$D$243:$D$257))/1000000</f>
        <v>255.49529662999998</v>
      </c>
      <c r="G20" s="4">
        <f>(SUM('[2]13_14 fleet'!$D$318:$D$347))/1000000</f>
        <v>394.47845398000004</v>
      </c>
      <c r="H20" s="21"/>
      <c r="I20" s="9">
        <f t="shared" si="0"/>
        <v>41375.093957279998</v>
      </c>
    </row>
    <row r="21" spans="2:9" ht="32" thickTop="1" thickBot="1" x14ac:dyDescent="0.4">
      <c r="B21" s="31" t="s">
        <v>23</v>
      </c>
      <c r="C21" s="9">
        <f t="shared" ref="C21:H21" si="1">SUM(C6:C19)</f>
        <v>31365.243639510001</v>
      </c>
      <c r="D21" s="9">
        <f t="shared" si="1"/>
        <v>6633.8519895300005</v>
      </c>
      <c r="E21" s="9">
        <f t="shared" si="1"/>
        <v>2686.1193018399995</v>
      </c>
      <c r="F21" s="9">
        <f t="shared" si="1"/>
        <v>249.73265371000002</v>
      </c>
      <c r="G21" s="9">
        <f t="shared" si="1"/>
        <v>377.85333231000004</v>
      </c>
      <c r="H21" s="9">
        <f t="shared" si="1"/>
        <v>42113.086183999985</v>
      </c>
      <c r="I21" s="10"/>
    </row>
    <row r="22" spans="2:9" ht="16.5" thickTop="1" thickBot="1" x14ac:dyDescent="0.4">
      <c r="B22" s="8" t="s">
        <v>97</v>
      </c>
      <c r="C22" s="9">
        <f>('[2]13_14 fleet'!$D$258+'[2]13_14 fleet'!$D$273+'[2]13_14 fleet'!$D$288+'[2]13_14 fleet'!$D$303)/1000000</f>
        <v>0.64084053000000007</v>
      </c>
      <c r="D22" s="9">
        <f>('[2]13_14 fleet'!$D$378+'[2]13_14 fleet'!$D$393+'[2]13_14 fleet'!$D$408+'[2]13_14 fleet'!$D$423)/1000000</f>
        <v>0.29571036000000001</v>
      </c>
      <c r="E22" s="9">
        <f>('[2]13_14 fleet'!$D$348+'[2]13_14 fleet'!$D$363)/1000000</f>
        <v>38.968724900000005</v>
      </c>
      <c r="F22" s="9">
        <f>('[2]13_14 fleet'!$D$228+'[2]13_14 fleet'!$D$243)/1000000</f>
        <v>5.7626429200000002</v>
      </c>
      <c r="G22" s="9">
        <f>('[2]13_14 fleet'!$D$318+'[2]13_14 fleet'!$D$333)/1000000</f>
        <v>16.625121669999999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31365.88448004</v>
      </c>
      <c r="D23" s="9">
        <f>D21+D22</f>
        <v>6634.1476998900007</v>
      </c>
      <c r="E23" s="9">
        <f>E21+E22</f>
        <v>2725.0880267399993</v>
      </c>
      <c r="F23" s="9">
        <f>F21+F22</f>
        <v>255.49529663000001</v>
      </c>
      <c r="G23" s="9">
        <f>G21+G22</f>
        <v>394.47845398000004</v>
      </c>
      <c r="H23" s="10"/>
      <c r="I23" s="10"/>
    </row>
    <row r="24" spans="2:9" ht="13" thickTop="1" x14ac:dyDescent="0.25"/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4:K30"/>
  <sheetViews>
    <sheetView workbookViewId="0">
      <selection activeCell="B30" sqref="B30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2013-14 Data'!C6*C$22*$J6</f>
        <v>1207.1633383182407</v>
      </c>
      <c r="D6" s="11">
        <f>'Original 2013-14 Data'!D6*D$22*$J6</f>
        <v>335.41369774834118</v>
      </c>
      <c r="E6" s="11">
        <f>'Original 2013-14 Data'!E6*E$22*$J6</f>
        <v>135.67452055937187</v>
      </c>
      <c r="F6" s="11">
        <f>'Original 2013-14 Data'!F6*F$22*$J6</f>
        <v>10.401779044802701</v>
      </c>
      <c r="G6" s="11">
        <f>'Original 2013-14 Data'!G6*G$22*$J6</f>
        <v>13.263818395435685</v>
      </c>
      <c r="H6" s="11">
        <f>'Original 2013-14 Data'!H6*'Original 2013-14 Data'!$I$20/'Original 2013-14 Data'!$H$21</f>
        <v>1701.9171540661923</v>
      </c>
      <c r="I6" s="11">
        <f>SUM(C6:G6)</f>
        <v>1701.9171540661921</v>
      </c>
      <c r="J6" s="12">
        <v>1.0915227845219355</v>
      </c>
      <c r="K6" s="12">
        <f>J6*H6/I6</f>
        <v>1.0915227845219357</v>
      </c>
    </row>
    <row r="7" spans="2:11" ht="15.5" x14ac:dyDescent="0.35">
      <c r="B7" s="24" t="s">
        <v>1</v>
      </c>
      <c r="C7" s="13">
        <f>'Original 2013-14 Data'!C7*C$22*$J7</f>
        <v>10231.883329892014</v>
      </c>
      <c r="D7" s="13">
        <f>'Original 2013-14 Data'!D7*D$22*$J7</f>
        <v>1426.7194155047903</v>
      </c>
      <c r="E7" s="13">
        <f>'Original 2013-14 Data'!E7*E$22*$J7</f>
        <v>620.39545906303897</v>
      </c>
      <c r="F7" s="13">
        <f>'Original 2013-14 Data'!F7*F$22*$J7</f>
        <v>88.715466881974692</v>
      </c>
      <c r="G7" s="13">
        <f>'Original 2013-14 Data'!G7*G$22*$J7</f>
        <v>100.28100737595719</v>
      </c>
      <c r="H7" s="13">
        <f>'Original 2013-14 Data'!H7*'Original 2013-14 Data'!$I$20/'Original 2013-14 Data'!$H$21</f>
        <v>12467.994678717776</v>
      </c>
      <c r="I7" s="13">
        <f t="shared" ref="I7:I20" si="0">SUM(C7:G7)</f>
        <v>12467.994678717776</v>
      </c>
      <c r="J7" s="14">
        <v>0.9652160663924142</v>
      </c>
      <c r="K7" s="14">
        <f t="shared" ref="K7:K19" si="1">J7*H7/I7</f>
        <v>0.9652160663924142</v>
      </c>
    </row>
    <row r="8" spans="2:11" ht="15.5" x14ac:dyDescent="0.35">
      <c r="B8" s="24" t="s">
        <v>2</v>
      </c>
      <c r="C8" s="13">
        <f>'Original 2013-14 Data'!C8*C$22*$J8</f>
        <v>3773.8836495942396</v>
      </c>
      <c r="D8" s="13">
        <f>'Original 2013-14 Data'!D8*D$22*$J8</f>
        <v>890.8735312277222</v>
      </c>
      <c r="E8" s="13">
        <f>'Original 2013-14 Data'!E8*E$22*$J8</f>
        <v>390.39041080250428</v>
      </c>
      <c r="F8" s="13">
        <f>'Original 2013-14 Data'!F8*F$22*$J8</f>
        <v>20.79901394805454</v>
      </c>
      <c r="G8" s="13">
        <f>'Original 2013-14 Data'!G8*G$22*$J8</f>
        <v>47.513629797834014</v>
      </c>
      <c r="H8" s="13">
        <f>'Original 2013-14 Data'!H8*'Original 2013-14 Data'!$I$20/'Original 2013-14 Data'!$H$21</f>
        <v>5123.460235370354</v>
      </c>
      <c r="I8" s="13">
        <f t="shared" si="0"/>
        <v>5123.4602353703549</v>
      </c>
      <c r="J8" s="14">
        <v>1.1827710413277275</v>
      </c>
      <c r="K8" s="14">
        <f t="shared" si="1"/>
        <v>1.1827710413277273</v>
      </c>
    </row>
    <row r="9" spans="2:11" ht="15.5" x14ac:dyDescent="0.35">
      <c r="B9" s="24" t="s">
        <v>3</v>
      </c>
      <c r="C9" s="13">
        <f>'Original 2013-14 Data'!C9*C$22*$J9</f>
        <v>1958.6516845193339</v>
      </c>
      <c r="D9" s="13">
        <f>'Original 2013-14 Data'!D9*D$22*$J9</f>
        <v>502.98453697884111</v>
      </c>
      <c r="E9" s="13">
        <f>'Original 2013-14 Data'!E9*E$22*$J9</f>
        <v>223.73085009383851</v>
      </c>
      <c r="F9" s="13">
        <f>'Original 2013-14 Data'!F9*F$22*$J9</f>
        <v>14.756134418666809</v>
      </c>
      <c r="G9" s="13">
        <f>'Original 2013-14 Data'!G9*G$22*$J9</f>
        <v>27.192047927332954</v>
      </c>
      <c r="H9" s="13">
        <f>'Original 2013-14 Data'!H9*'Original 2013-14 Data'!$I$20/'Original 2013-14 Data'!$H$21</f>
        <v>2727.3152539380126</v>
      </c>
      <c r="I9" s="13">
        <f t="shared" si="0"/>
        <v>2727.3152539380135</v>
      </c>
      <c r="J9" s="14">
        <v>0.86394355768503561</v>
      </c>
      <c r="K9" s="14">
        <f t="shared" si="1"/>
        <v>0.86394355768503528</v>
      </c>
    </row>
    <row r="10" spans="2:11" ht="15.5" x14ac:dyDescent="0.35">
      <c r="B10" s="24" t="s">
        <v>4</v>
      </c>
      <c r="C10" s="13">
        <f>'Original 2013-14 Data'!C10*C$22*$J10</f>
        <v>240.61556831118608</v>
      </c>
      <c r="D10" s="13">
        <f>'Original 2013-14 Data'!D10*D$22*$J10</f>
        <v>102.0513892468109</v>
      </c>
      <c r="E10" s="13">
        <f>'Original 2013-14 Data'!E10*E$22*$J10</f>
        <v>36.059626125440786</v>
      </c>
      <c r="F10" s="13">
        <f>'Original 2013-14 Data'!F10*F$22*$J10</f>
        <v>1.9072379251640335</v>
      </c>
      <c r="G10" s="13">
        <f>'Original 2013-14 Data'!G10*G$22*$J10</f>
        <v>2.7601540462194354</v>
      </c>
      <c r="H10" s="13">
        <f>'Original 2013-14 Data'!H10*'Original 2013-14 Data'!$I$20/'Original 2013-14 Data'!$H$21</f>
        <v>383.39397565482119</v>
      </c>
      <c r="I10" s="13">
        <f t="shared" si="0"/>
        <v>383.39397565482125</v>
      </c>
      <c r="J10" s="14">
        <v>1.0439810038358728</v>
      </c>
      <c r="K10" s="14">
        <f t="shared" si="1"/>
        <v>1.0439810038358726</v>
      </c>
    </row>
    <row r="11" spans="2:11" ht="15.5" x14ac:dyDescent="0.35">
      <c r="B11" s="24" t="s">
        <v>5</v>
      </c>
      <c r="C11" s="13">
        <f>'Original 2013-14 Data'!C11*C$22*$J11</f>
        <v>1026.1759100481281</v>
      </c>
      <c r="D11" s="13">
        <f>'Original 2013-14 Data'!D11*D$22*$J11</f>
        <v>273.16887555436631</v>
      </c>
      <c r="E11" s="13">
        <f>'Original 2013-14 Data'!E11*E$22*$J11</f>
        <v>106.76392106951823</v>
      </c>
      <c r="F11" s="13">
        <f>'Original 2013-14 Data'!F11*F$22*$J11</f>
        <v>5.7748539322517694</v>
      </c>
      <c r="G11" s="13">
        <f>'Original 2013-14 Data'!G11*G$22*$J11</f>
        <v>12.994284016766002</v>
      </c>
      <c r="H11" s="13">
        <f>'Original 2013-14 Data'!H11*'Original 2013-14 Data'!$I$20/'Original 2013-14 Data'!$H$21</f>
        <v>1424.8778446210308</v>
      </c>
      <c r="I11" s="13">
        <f t="shared" si="0"/>
        <v>1424.8778446210306</v>
      </c>
      <c r="J11" s="14">
        <v>1.0105596783782038</v>
      </c>
      <c r="K11" s="14">
        <f t="shared" si="1"/>
        <v>1.010559678378204</v>
      </c>
    </row>
    <row r="12" spans="2:11" ht="15.5" x14ac:dyDescent="0.35">
      <c r="B12" s="24" t="s">
        <v>6</v>
      </c>
      <c r="C12" s="13">
        <f>'Original 2013-14 Data'!C12*C$22*$J12</f>
        <v>740.99610911448769</v>
      </c>
      <c r="D12" s="13">
        <f>'Original 2013-14 Data'!D12*D$22*$J12</f>
        <v>187.78228494409871</v>
      </c>
      <c r="E12" s="13">
        <f>'Original 2013-14 Data'!E12*E$22*$J12</f>
        <v>87.906568292027828</v>
      </c>
      <c r="F12" s="13">
        <f>'Original 2013-14 Data'!F12*F$22*$J12</f>
        <v>3.5740403432055636</v>
      </c>
      <c r="G12" s="13">
        <f>'Original 2013-14 Data'!G12*G$22*$J12</f>
        <v>12.528740840905686</v>
      </c>
      <c r="H12" s="13">
        <f>'Original 2013-14 Data'!H12*'Original 2013-14 Data'!$I$20/'Original 2013-14 Data'!$H$21</f>
        <v>1032.7877435347255</v>
      </c>
      <c r="I12" s="13">
        <f t="shared" si="0"/>
        <v>1032.7877435347255</v>
      </c>
      <c r="J12" s="14">
        <v>0.96216647730711258</v>
      </c>
      <c r="K12" s="14">
        <f t="shared" si="1"/>
        <v>0.96216647730711258</v>
      </c>
    </row>
    <row r="13" spans="2:11" ht="15.5" x14ac:dyDescent="0.35">
      <c r="B13" s="24" t="s">
        <v>7</v>
      </c>
      <c r="C13" s="13">
        <f>'Original 2013-14 Data'!C13*C$22*$J13</f>
        <v>1689.9497835748762</v>
      </c>
      <c r="D13" s="13">
        <f>'Original 2013-14 Data'!D13*D$22*$J13</f>
        <v>442.79379262005642</v>
      </c>
      <c r="E13" s="13">
        <f>'Original 2013-14 Data'!E13*E$22*$J13</f>
        <v>192.89161165616255</v>
      </c>
      <c r="F13" s="13">
        <f>'Original 2013-14 Data'!F13*F$22*$J13</f>
        <v>8.680327588734146</v>
      </c>
      <c r="G13" s="13">
        <f>'Original 2013-14 Data'!G13*G$22*$J13</f>
        <v>26.871294941996638</v>
      </c>
      <c r="H13" s="13">
        <f>'Original 2013-14 Data'!H13*'Original 2013-14 Data'!$I$20/'Original 2013-14 Data'!$H$21</f>
        <v>2361.186810381826</v>
      </c>
      <c r="I13" s="13">
        <f t="shared" si="0"/>
        <v>2361.186810381826</v>
      </c>
      <c r="J13" s="14">
        <v>1.1067483650794687</v>
      </c>
      <c r="K13" s="14">
        <f t="shared" si="1"/>
        <v>1.1067483650794687</v>
      </c>
    </row>
    <row r="14" spans="2:11" ht="15.5" x14ac:dyDescent="0.35">
      <c r="B14" s="24" t="s">
        <v>8</v>
      </c>
      <c r="C14" s="13">
        <f>'Original 2013-14 Data'!C14*C$22*$J14</f>
        <v>2808.4980691970704</v>
      </c>
      <c r="D14" s="13">
        <f>'Original 2013-14 Data'!D14*D$22*$J14</f>
        <v>453.607383540054</v>
      </c>
      <c r="E14" s="13">
        <f>'Original 2013-14 Data'!E14*E$22*$J14</f>
        <v>133.77417405686103</v>
      </c>
      <c r="F14" s="13">
        <f>'Original 2013-14 Data'!F14*F$22*$J14</f>
        <v>20.660378629673406</v>
      </c>
      <c r="G14" s="13">
        <f>'Original 2013-14 Data'!G14*G$22*$J14</f>
        <v>44.104188811135614</v>
      </c>
      <c r="H14" s="13">
        <f>'Original 2013-14 Data'!H14*'Original 2013-14 Data'!$I$20/'Original 2013-14 Data'!$H$21</f>
        <v>3460.6441942347947</v>
      </c>
      <c r="I14" s="13">
        <f t="shared" si="0"/>
        <v>3460.6441942347942</v>
      </c>
      <c r="J14" s="14">
        <v>0.92931608879179173</v>
      </c>
      <c r="K14" s="14">
        <f t="shared" si="1"/>
        <v>0.92931608879179184</v>
      </c>
    </row>
    <row r="15" spans="2:11" ht="15.5" x14ac:dyDescent="0.35">
      <c r="B15" s="24" t="s">
        <v>9</v>
      </c>
      <c r="C15" s="13">
        <f>'Original 2013-14 Data'!C15*C$22*$J15</f>
        <v>901.79729777243256</v>
      </c>
      <c r="D15" s="13">
        <f>'Original 2013-14 Data'!D15*D$22*$J15</f>
        <v>268.06773814277665</v>
      </c>
      <c r="E15" s="13">
        <f>'Original 2013-14 Data'!E15*E$22*$J15</f>
        <v>101.2492551025969</v>
      </c>
      <c r="F15" s="13">
        <f>'Original 2013-14 Data'!F15*F$22*$J15</f>
        <v>6.5118389653351718</v>
      </c>
      <c r="G15" s="13">
        <f>'Original 2013-14 Data'!G15*G$22*$J15</f>
        <v>18.084782368895013</v>
      </c>
      <c r="H15" s="13">
        <f>'Original 2013-14 Data'!H15*'Original 2013-14 Data'!$I$20/'Original 2013-14 Data'!$H$21</f>
        <v>1295.7109123520363</v>
      </c>
      <c r="I15" s="13">
        <f t="shared" si="0"/>
        <v>1295.7109123520363</v>
      </c>
      <c r="J15" s="14">
        <v>0.95138618218115945</v>
      </c>
      <c r="K15" s="14">
        <f t="shared" si="1"/>
        <v>0.95138618218115933</v>
      </c>
    </row>
    <row r="16" spans="2:11" ht="15.5" x14ac:dyDescent="0.35">
      <c r="B16" s="24" t="s">
        <v>10</v>
      </c>
      <c r="C16" s="13">
        <f>'Original 2013-14 Data'!C16*C$22*$J16</f>
        <v>315.5475661153227</v>
      </c>
      <c r="D16" s="13">
        <f>'Original 2013-14 Data'!D16*D$22*$J16</f>
        <v>120.21130771800863</v>
      </c>
      <c r="E16" s="13">
        <f>'Original 2013-14 Data'!E16*E$22*$J16</f>
        <v>44.964471592553494</v>
      </c>
      <c r="F16" s="13">
        <f>'Original 2013-14 Data'!F16*F$22*$J16</f>
        <v>3.3064430965177922</v>
      </c>
      <c r="G16" s="13">
        <f>'Original 2013-14 Data'!G16*G$22*$J16</f>
        <v>6.303205469607259</v>
      </c>
      <c r="H16" s="13">
        <f>'Original 2013-14 Data'!H16*'Original 2013-14 Data'!$I$20/'Original 2013-14 Data'!$H$21</f>
        <v>490.33299399200985</v>
      </c>
      <c r="I16" s="13">
        <f t="shared" si="0"/>
        <v>490.33299399200985</v>
      </c>
      <c r="J16" s="14">
        <v>1.4327050514057416</v>
      </c>
      <c r="K16" s="14">
        <f t="shared" si="1"/>
        <v>1.4327050514057416</v>
      </c>
    </row>
    <row r="17" spans="2:11" ht="15.5" x14ac:dyDescent="0.35">
      <c r="B17" s="24" t="s">
        <v>11</v>
      </c>
      <c r="C17" s="13">
        <f>'Original 2013-14 Data'!C17*C$22*$J17</f>
        <v>4098.875929506934</v>
      </c>
      <c r="D17" s="13">
        <f>'Original 2013-14 Data'!D17*D$22*$J17</f>
        <v>973.46453611606478</v>
      </c>
      <c r="E17" s="13">
        <f>'Original 2013-14 Data'!E17*E$22*$J17</f>
        <v>410.17269428376483</v>
      </c>
      <c r="F17" s="13">
        <f>'Original 2013-14 Data'!F17*F$22*$J17</f>
        <v>43.354328716915184</v>
      </c>
      <c r="G17" s="13">
        <f>'Original 2013-14 Data'!G17*G$22*$J17</f>
        <v>53.935598319994213</v>
      </c>
      <c r="H17" s="13">
        <f>'Original 2013-14 Data'!H17*'Original 2013-14 Data'!$I$20/'Original 2013-14 Data'!$H$21</f>
        <v>5579.8030869436734</v>
      </c>
      <c r="I17" s="13">
        <f t="shared" si="0"/>
        <v>5579.8030869436725</v>
      </c>
      <c r="J17" s="14">
        <v>0.90961032933181829</v>
      </c>
      <c r="K17" s="14">
        <f t="shared" si="1"/>
        <v>0.9096103293318184</v>
      </c>
    </row>
    <row r="18" spans="2:11" ht="15.5" x14ac:dyDescent="0.35">
      <c r="B18" s="24" t="s">
        <v>12</v>
      </c>
      <c r="C18" s="13">
        <f>'Original 2013-14 Data'!C18*C$22*$J18</f>
        <v>1618.0488514333024</v>
      </c>
      <c r="D18" s="13">
        <f>'Original 2013-14 Data'!D18*D$22*$J18</f>
        <v>401.89930681513556</v>
      </c>
      <c r="E18" s="13">
        <f>'Original 2013-14 Data'!E18*E$22*$J18</f>
        <v>139.58455031725936</v>
      </c>
      <c r="F18" s="13">
        <f>'Original 2013-14 Data'!F18*F$22*$J18</f>
        <v>19.524385446445841</v>
      </c>
      <c r="G18" s="13">
        <f>'Original 2013-14 Data'!G18*G$22*$J18</f>
        <v>20.264450172404157</v>
      </c>
      <c r="H18" s="13">
        <f>'Original 2013-14 Data'!H18*'Original 2013-14 Data'!$I$20/'Original 2013-14 Data'!$H$21</f>
        <v>2199.3215441845473</v>
      </c>
      <c r="I18" s="13">
        <f t="shared" si="0"/>
        <v>2199.3215441845468</v>
      </c>
      <c r="J18" s="14">
        <v>1.2124683619950187</v>
      </c>
      <c r="K18" s="14">
        <f t="shared" si="1"/>
        <v>1.212468361995019</v>
      </c>
    </row>
    <row r="19" spans="2:11" ht="16" thickBot="1" x14ac:dyDescent="0.4">
      <c r="B19" s="25" t="s">
        <v>13</v>
      </c>
      <c r="C19" s="15">
        <f>'Original 2013-14 Data'!C19*C$22*$J19</f>
        <v>753.77982188506166</v>
      </c>
      <c r="D19" s="15">
        <f>'Original 2013-14 Data'!D19*D$22*$J19</f>
        <v>255.12237408095586</v>
      </c>
      <c r="E19" s="15">
        <f>'Original 2013-14 Data'!E19*E$22*$J19</f>
        <v>101.5350793421801</v>
      </c>
      <c r="F19" s="15">
        <f>'Original 2013-14 Data'!F19*F$22*$J19</f>
        <v>7.5288576503770077</v>
      </c>
      <c r="G19" s="15">
        <f>'Original 2013-14 Data'!G19*G$22*$J19</f>
        <v>8.3813963296353666</v>
      </c>
      <c r="H19" s="15">
        <f>'Original 2013-14 Data'!H19*'Original 2013-14 Data'!$I$20/'Original 2013-14 Data'!$H$21</f>
        <v>1126.3475292882101</v>
      </c>
      <c r="I19" s="15">
        <f t="shared" si="0"/>
        <v>1126.3475292882099</v>
      </c>
      <c r="J19" s="16">
        <v>1.072161791580764</v>
      </c>
      <c r="K19" s="16">
        <f t="shared" si="1"/>
        <v>1.0721617915807642</v>
      </c>
    </row>
    <row r="20" spans="2:11" ht="32.25" customHeight="1" thickTop="1" thickBot="1" x14ac:dyDescent="0.4">
      <c r="B20" s="20" t="s">
        <v>20</v>
      </c>
      <c r="C20" s="4">
        <f>'Original 2013-14 Data'!C20</f>
        <v>31365.88448004</v>
      </c>
      <c r="D20" s="4">
        <f>'Original 2013-14 Data'!D20</f>
        <v>6634.1476998900016</v>
      </c>
      <c r="E20" s="4">
        <f>'Original 2013-14 Data'!E20</f>
        <v>2725.0880267399998</v>
      </c>
      <c r="F20" s="4">
        <f>'Original 2013-14 Data'!F20</f>
        <v>255.49529662999998</v>
      </c>
      <c r="G20" s="4">
        <f>'Original 2013-14 Data'!G20</f>
        <v>394.47845398000004</v>
      </c>
      <c r="H20" s="5"/>
      <c r="I20" s="9">
        <f t="shared" si="0"/>
        <v>41375.093957279998</v>
      </c>
    </row>
    <row r="21" spans="2:11" ht="32" thickTop="1" thickBot="1" x14ac:dyDescent="0.4">
      <c r="B21" s="31" t="s">
        <v>23</v>
      </c>
      <c r="C21" s="9">
        <f t="shared" ref="C21:H21" si="2">SUM(C6:C19)</f>
        <v>31365.866909282631</v>
      </c>
      <c r="D21" s="9">
        <f t="shared" si="2"/>
        <v>6634.1601702380212</v>
      </c>
      <c r="E21" s="9">
        <f t="shared" si="2"/>
        <v>2725.0931923571188</v>
      </c>
      <c r="F21" s="9">
        <f t="shared" si="2"/>
        <v>255.49508658811862</v>
      </c>
      <c r="G21" s="9">
        <f t="shared" si="2"/>
        <v>394.47859881411927</v>
      </c>
      <c r="H21" s="9">
        <f t="shared" si="2"/>
        <v>41375.093957280005</v>
      </c>
      <c r="I21" s="6"/>
    </row>
    <row r="22" spans="2:11" ht="16.5" thickTop="1" thickBot="1" x14ac:dyDescent="0.4">
      <c r="B22" s="8" t="s">
        <v>16</v>
      </c>
      <c r="C22" s="10">
        <v>1.0024271965869589</v>
      </c>
      <c r="D22" s="10">
        <v>0.99151286645626191</v>
      </c>
      <c r="E22" s="10">
        <v>1.0068179312423735</v>
      </c>
      <c r="F22" s="10">
        <v>1.0306143828040528</v>
      </c>
      <c r="G22" s="10">
        <v>1.0458785365556731</v>
      </c>
      <c r="H22" s="17"/>
    </row>
    <row r="23" spans="2:11" ht="16.5" thickTop="1" thickBot="1" x14ac:dyDescent="0.4">
      <c r="B23" s="8" t="s">
        <v>17</v>
      </c>
      <c r="C23" s="10">
        <f>C22*C20/C21</f>
        <v>1.0024277581338501</v>
      </c>
      <c r="D23" s="10">
        <f>D22*D20/D21</f>
        <v>0.99151100269201842</v>
      </c>
      <c r="E23" s="10">
        <f>E22*E20/E21</f>
        <v>1.006816022743994</v>
      </c>
      <c r="F23" s="10">
        <f>F22*F20/F21</f>
        <v>1.0306152300695983</v>
      </c>
      <c r="G23" s="10">
        <f>G22*G20/G21</f>
        <v>1.0458781525579173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4:I24"/>
  <sheetViews>
    <sheetView workbookViewId="0">
      <selection activeCell="G23" sqref="G23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('[3]14_15 fleet'!$D259+'[3]14_15 fleet'!$D274+'[3]14_15 fleet'!$D289+'[3]14_15 fleet'!$D304)/1000000</f>
        <v>1104.4079445299999</v>
      </c>
      <c r="D6" s="11">
        <f>('[3]14_15 fleet'!$D379+'[3]14_15 fleet'!$D394+'[3]14_15 fleet'!$D409+'[3]14_15 fleet'!$D424)/1000000</f>
        <v>325.72894998999999</v>
      </c>
      <c r="E6" s="11">
        <f>('[3]14_15 fleet'!$D$349+'[3]14_15 fleet'!$D$364)/1000000</f>
        <v>126.28731495999999</v>
      </c>
      <c r="F6" s="11">
        <f>('[3]14_15 fleet'!$D229+'[3]14_15 fleet'!$D244)/1000000</f>
        <v>10.122528460000002</v>
      </c>
      <c r="G6" s="11">
        <f>('[3]14_15 fleet'!$D319+'[3]14_15 fleet'!$D334)/1000000</f>
        <v>11.695415859999999</v>
      </c>
      <c r="H6" s="28">
        <f>[7]Northland!$K$8/1000000</f>
        <v>1754.5014659999999</v>
      </c>
      <c r="I6" s="13">
        <f>SUM(C6:G6)</f>
        <v>1578.2421537999999</v>
      </c>
    </row>
    <row r="7" spans="2:9" ht="15.5" x14ac:dyDescent="0.35">
      <c r="B7" s="27" t="s">
        <v>1</v>
      </c>
      <c r="C7" s="13">
        <f>('[3]14_15 fleet'!$D260+'[3]14_15 fleet'!$D275+'[3]14_15 fleet'!$D290+'[3]14_15 fleet'!$D305)/1000000</f>
        <v>11003.556259999999</v>
      </c>
      <c r="D7" s="13">
        <f>('[3]14_15 fleet'!$D380+'[3]14_15 fleet'!$D395+'[3]14_15 fleet'!$D410+'[3]14_15 fleet'!$D425)/1000000</f>
        <v>1614.81361786</v>
      </c>
      <c r="E7" s="13">
        <f>('[3]14_15 fleet'!$D$350+'[3]14_15 fleet'!$D$365)/1000000</f>
        <v>656.05219276000003</v>
      </c>
      <c r="F7" s="13">
        <f>('[3]14_15 fleet'!$D230+'[3]14_15 fleet'!$D245)/1000000</f>
        <v>92.751310540000006</v>
      </c>
      <c r="G7" s="13">
        <f>('[3]14_15 fleet'!$D320+'[3]14_15 fleet'!$D335)/1000000</f>
        <v>104.50823797</v>
      </c>
      <c r="H7" s="29">
        <f>[7]Auckland!$K$8/1000000</f>
        <v>12651.418256000001</v>
      </c>
      <c r="I7" s="13">
        <f t="shared" ref="I7:I20" si="0">SUM(C7:G7)</f>
        <v>13471.681619129999</v>
      </c>
    </row>
    <row r="8" spans="2:9" ht="15.5" x14ac:dyDescent="0.35">
      <c r="B8" s="27" t="s">
        <v>2</v>
      </c>
      <c r="C8" s="13">
        <f>('[3]14_15 fleet'!$D261+'[3]14_15 fleet'!$D276+'[3]14_15 fleet'!$D291+'[3]14_15 fleet'!$D306)/1000000</f>
        <v>3246.3993276300002</v>
      </c>
      <c r="D8" s="13">
        <f>('[3]14_15 fleet'!$D381+'[3]14_15 fleet'!$D396+'[3]14_15 fleet'!$D411+'[3]14_15 fleet'!$D426)/1000000</f>
        <v>815.72339521000004</v>
      </c>
      <c r="E8" s="13">
        <f>('[3]14_15 fleet'!$D$351+'[3]14_15 fleet'!$D$366)/1000000</f>
        <v>335.57764110999995</v>
      </c>
      <c r="F8" s="13">
        <f>('[3]14_15 fleet'!$D231+'[3]14_15 fleet'!$D246)/1000000</f>
        <v>16.803433170000002</v>
      </c>
      <c r="G8" s="13">
        <f>('[3]14_15 fleet'!$D321+'[3]14_15 fleet'!$D336)/1000000</f>
        <v>38.293871600000003</v>
      </c>
      <c r="H8" s="29">
        <f>[7]Waikato!$K$8/1000000</f>
        <v>5341.81106</v>
      </c>
      <c r="I8" s="13">
        <f t="shared" si="0"/>
        <v>4452.7976687199998</v>
      </c>
    </row>
    <row r="9" spans="2:9" ht="15.5" x14ac:dyDescent="0.35">
      <c r="B9" s="27" t="s">
        <v>3</v>
      </c>
      <c r="C9" s="13">
        <f>('[3]14_15 fleet'!$D262+'[3]14_15 fleet'!$D277+'[3]14_15 fleet'!$D292+'[3]14_15 fleet'!$D307)/1000000</f>
        <v>2306.1952718699999</v>
      </c>
      <c r="D9" s="13">
        <f>('[3]14_15 fleet'!$D382+'[3]14_15 fleet'!$D397+'[3]14_15 fleet'!$D412+'[3]14_15 fleet'!$D427)/1000000</f>
        <v>621.56777270000009</v>
      </c>
      <c r="E9" s="13">
        <f>('[3]14_15 fleet'!$D$352+'[3]14_15 fleet'!$D$367)/1000000</f>
        <v>266.40606445999998</v>
      </c>
      <c r="F9" s="13">
        <f>('[3]14_15 fleet'!$D232+'[3]14_15 fleet'!$D247)/1000000</f>
        <v>16.5804361</v>
      </c>
      <c r="G9" s="13">
        <f>('[3]14_15 fleet'!$D322+'[3]14_15 fleet'!$D337)/1000000</f>
        <v>30.65439816</v>
      </c>
      <c r="H9" s="29">
        <f>'[7]Bay of Plenty'!$K$8/1000000</f>
        <v>2737.3056059999999</v>
      </c>
      <c r="I9" s="13">
        <f t="shared" si="0"/>
        <v>3241.4039432899999</v>
      </c>
    </row>
    <row r="10" spans="2:9" ht="15.5" x14ac:dyDescent="0.35">
      <c r="B10" s="27" t="s">
        <v>4</v>
      </c>
      <c r="C10" s="13">
        <f>('[3]14_15 fleet'!$D263+'[3]14_15 fleet'!$D278+'[3]14_15 fleet'!$D293+'[3]14_15 fleet'!$D308)/1000000</f>
        <v>231.41752043</v>
      </c>
      <c r="D10" s="13">
        <f>('[3]14_15 fleet'!$D383+'[3]14_15 fleet'!$D398+'[3]14_15 fleet'!$D413+'[3]14_15 fleet'!$D428)/1000000</f>
        <v>102.84489451</v>
      </c>
      <c r="E10" s="13">
        <f>('[3]14_15 fleet'!$D$353+'[3]14_15 fleet'!$D$368)/1000000</f>
        <v>33.993922730000001</v>
      </c>
      <c r="F10" s="13">
        <f>('[3]14_15 fleet'!$D233+'[3]14_15 fleet'!$D248)/1000000</f>
        <v>1.8021012000000003</v>
      </c>
      <c r="G10" s="13">
        <f>('[3]14_15 fleet'!$D323+'[3]14_15 fleet'!$D338)/1000000</f>
        <v>2.6054105299999999</v>
      </c>
      <c r="H10" s="29">
        <f>[7]Gisborne!$K$8/1000000</f>
        <v>400.71730000000002</v>
      </c>
      <c r="I10" s="13">
        <f t="shared" si="0"/>
        <v>372.66384939999995</v>
      </c>
    </row>
    <row r="11" spans="2:9" ht="15.5" x14ac:dyDescent="0.35">
      <c r="B11" s="27" t="s">
        <v>5</v>
      </c>
      <c r="C11" s="13">
        <f>('[3]14_15 fleet'!$D264+'[3]14_15 fleet'!$D279+'[3]14_15 fleet'!$D294+'[3]14_15 fleet'!$D309)/1000000</f>
        <v>1029.3175241599999</v>
      </c>
      <c r="D11" s="13">
        <f>('[3]14_15 fleet'!$D384+'[3]14_15 fleet'!$D399+'[3]14_15 fleet'!$D414+'[3]14_15 fleet'!$D429)/1000000</f>
        <v>284.51233965999995</v>
      </c>
      <c r="E11" s="13">
        <f>('[3]14_15 fleet'!$D$354+'[3]14_15 fleet'!$D$369)/1000000</f>
        <v>105.47268024</v>
      </c>
      <c r="F11" s="13">
        <f>('[3]14_15 fleet'!$D234+'[3]14_15 fleet'!$D249)/1000000</f>
        <v>5.1082306000000006</v>
      </c>
      <c r="G11" s="13">
        <f>('[3]14_15 fleet'!$D324+'[3]14_15 fleet'!$D339)/1000000</f>
        <v>12.404763640000001</v>
      </c>
      <c r="H11" s="29">
        <f>'[7]Hawke''s Bay'!$K$8/1000000</f>
        <v>1488.177907</v>
      </c>
      <c r="I11" s="13">
        <f t="shared" si="0"/>
        <v>1436.8155383000001</v>
      </c>
    </row>
    <row r="12" spans="2:9" ht="15.5" x14ac:dyDescent="0.35">
      <c r="B12" s="27" t="s">
        <v>6</v>
      </c>
      <c r="C12" s="13">
        <f>('[3]14_15 fleet'!$D265+'[3]14_15 fleet'!$D280+'[3]14_15 fleet'!$D295+'[3]14_15 fleet'!$D310)/1000000</f>
        <v>772.17689474999997</v>
      </c>
      <c r="D12" s="13">
        <f>('[3]14_15 fleet'!$D385+'[3]14_15 fleet'!$D400+'[3]14_15 fleet'!$D415+'[3]14_15 fleet'!$D430)/1000000</f>
        <v>205.5193084</v>
      </c>
      <c r="E12" s="13">
        <f>('[3]14_15 fleet'!$D$355+'[3]14_15 fleet'!$D$370)/1000000</f>
        <v>95.538932369999998</v>
      </c>
      <c r="F12" s="13">
        <f>('[3]14_15 fleet'!$D235+'[3]14_15 fleet'!$D250)/1000000</f>
        <v>3.7424198300000002</v>
      </c>
      <c r="G12" s="13">
        <f>('[3]14_15 fleet'!$D325+'[3]14_15 fleet'!$D340)/1000000</f>
        <v>12.32477682</v>
      </c>
      <c r="H12" s="29">
        <f>[7]Taranaki!$K$8/1000000</f>
        <v>1073.4750320000001</v>
      </c>
      <c r="I12" s="13">
        <f t="shared" si="0"/>
        <v>1089.3023321699998</v>
      </c>
    </row>
    <row r="13" spans="2:9" ht="15.5" x14ac:dyDescent="0.35">
      <c r="B13" s="27" t="s">
        <v>7</v>
      </c>
      <c r="C13" s="13">
        <f>('[3]14_15 fleet'!$D266+'[3]14_15 fleet'!$D281+'[3]14_15 fleet'!$D296+'[3]14_15 fleet'!$D311)/1000000</f>
        <v>1549.8156409400001</v>
      </c>
      <c r="D13" s="13">
        <f>('[3]14_15 fleet'!$D386+'[3]14_15 fleet'!$D401+'[3]14_15 fleet'!$D416+'[3]14_15 fleet'!$D431)/1000000</f>
        <v>424.64738025000003</v>
      </c>
      <c r="E13" s="13">
        <f>('[3]14_15 fleet'!$D$356+'[3]14_15 fleet'!$D$371)/1000000</f>
        <v>178.94967975</v>
      </c>
      <c r="F13" s="13">
        <f>('[3]14_15 fleet'!$D236+'[3]14_15 fleet'!$D251)/1000000</f>
        <v>7.7470992299999999</v>
      </c>
      <c r="G13" s="13">
        <f>('[3]14_15 fleet'!$D326+'[3]14_15 fleet'!$D341)/1000000</f>
        <v>23.401129860000001</v>
      </c>
      <c r="H13" s="29">
        <f>[7]Manawatu!$K$8/1000000</f>
        <v>2407.5909339999998</v>
      </c>
      <c r="I13" s="13">
        <f t="shared" si="0"/>
        <v>2184.5609300299998</v>
      </c>
    </row>
    <row r="14" spans="2:9" ht="15.5" x14ac:dyDescent="0.35">
      <c r="B14" s="27" t="s">
        <v>8</v>
      </c>
      <c r="C14" s="13">
        <f>('[3]14_15 fleet'!$D267+'[3]14_15 fleet'!$D282+'[3]14_15 fleet'!$D297+'[3]14_15 fleet'!$D312)/1000000</f>
        <v>3056.0008650899999</v>
      </c>
      <c r="D14" s="13">
        <f>('[3]14_15 fleet'!$D387+'[3]14_15 fleet'!$D402+'[3]14_15 fleet'!$D417+'[3]14_15 fleet'!$D432)/1000000</f>
        <v>514.68822785999998</v>
      </c>
      <c r="E14" s="13">
        <f>('[3]14_15 fleet'!$D$357+'[3]14_15 fleet'!$D$372)/1000000</f>
        <v>148.58099424</v>
      </c>
      <c r="F14" s="13">
        <f>('[3]14_15 fleet'!$D237+'[3]14_15 fleet'!$D252)/1000000</f>
        <v>22.437353310000002</v>
      </c>
      <c r="G14" s="13">
        <f>('[3]14_15 fleet'!$D327+'[3]14_15 fleet'!$D342)/1000000</f>
        <v>46.134155069999998</v>
      </c>
      <c r="H14" s="29">
        <f>[7]Wellington!$K$8/1000000</f>
        <v>3708.289323</v>
      </c>
      <c r="I14" s="13">
        <f t="shared" si="0"/>
        <v>3787.8415955700002</v>
      </c>
    </row>
    <row r="15" spans="2:9" ht="15.5" x14ac:dyDescent="0.35">
      <c r="B15" s="27" t="s">
        <v>9</v>
      </c>
      <c r="C15" s="13">
        <f>('[3]14_15 fleet'!$D268+'[3]14_15 fleet'!$D283+'[3]14_15 fleet'!$D298+'[3]14_15 fleet'!$D313)/1000000</f>
        <v>971.57737384000006</v>
      </c>
      <c r="D15" s="13">
        <f>('[3]14_15 fleet'!$D388+'[3]14_15 fleet'!$D403+'[3]14_15 fleet'!$D418+'[3]14_15 fleet'!$D433)/1000000</f>
        <v>302.4833883</v>
      </c>
      <c r="E15" s="13">
        <f>('[3]14_15 fleet'!$D$358+'[3]14_15 fleet'!$D$373)/1000000</f>
        <v>106.50559260999999</v>
      </c>
      <c r="F15" s="13">
        <f>('[3]14_15 fleet'!$D238+'[3]14_15 fleet'!$D253)/1000000</f>
        <v>7.130806859999999</v>
      </c>
      <c r="G15" s="13">
        <f>('[3]14_15 fleet'!$D328+'[3]14_15 fleet'!$D343)/1000000</f>
        <v>18.857080779999997</v>
      </c>
      <c r="H15" s="29">
        <f>[7]TMN!$K$8/1000000</f>
        <v>1235.117266</v>
      </c>
      <c r="I15" s="13">
        <f t="shared" si="0"/>
        <v>1406.5542423899997</v>
      </c>
    </row>
    <row r="16" spans="2:9" ht="15.5" x14ac:dyDescent="0.35">
      <c r="B16" s="27" t="s">
        <v>10</v>
      </c>
      <c r="C16" s="13">
        <f>('[3]14_15 fleet'!$D269+'[3]14_15 fleet'!$D284+'[3]14_15 fleet'!$D299+'[3]14_15 fleet'!$D314)/1000000</f>
        <v>215.89695679999997</v>
      </c>
      <c r="D16" s="13">
        <f>('[3]14_15 fleet'!$D389+'[3]14_15 fleet'!$D404+'[3]14_15 fleet'!$D419+'[3]14_15 fleet'!$D434)/1000000</f>
        <v>85.1600222</v>
      </c>
      <c r="E16" s="13">
        <f>('[3]14_15 fleet'!$D$359+'[3]14_15 fleet'!$D$374)/1000000</f>
        <v>32.842738840000003</v>
      </c>
      <c r="F16" s="13">
        <f>('[3]14_15 fleet'!$D239+'[3]14_15 fleet'!$D254)/1000000</f>
        <v>2.3951146099999998</v>
      </c>
      <c r="G16" s="13">
        <f>('[3]14_15 fleet'!$D329+'[3]14_15 fleet'!$D344)/1000000</f>
        <v>4.1660504299999994</v>
      </c>
      <c r="H16" s="29">
        <f>'[7]West Coast'!$K$8/1000000</f>
        <v>525.576055</v>
      </c>
      <c r="I16" s="13">
        <f t="shared" si="0"/>
        <v>340.46088287999993</v>
      </c>
    </row>
    <row r="17" spans="2:9" ht="15.5" x14ac:dyDescent="0.35">
      <c r="B17" s="27" t="s">
        <v>11</v>
      </c>
      <c r="C17" s="13">
        <f>('[3]14_15 fleet'!$D270+'[3]14_15 fleet'!$D285+'[3]14_15 fleet'!$D300+'[3]14_15 fleet'!$D315)/1000000</f>
        <v>4602.4386139199996</v>
      </c>
      <c r="D17" s="13">
        <f>('[3]14_15 fleet'!$D390+'[3]14_15 fleet'!$D405+'[3]14_15 fleet'!$D420+'[3]14_15 fleet'!$D435)/1000000</f>
        <v>1157.88419853</v>
      </c>
      <c r="E17" s="13">
        <f>('[3]14_15 fleet'!$D$360+'[3]14_15 fleet'!$D$375)/1000000</f>
        <v>464.16730472</v>
      </c>
      <c r="F17" s="13">
        <f>('[3]14_15 fleet'!$D240+'[3]14_15 fleet'!$D255)/1000000</f>
        <v>48.28955242</v>
      </c>
      <c r="G17" s="13">
        <f>('[3]14_15 fleet'!$D330+'[3]14_15 fleet'!$D345)/1000000</f>
        <v>58.257886540000001</v>
      </c>
      <c r="H17" s="29">
        <f>[7]Canterbury!$K$8/1000000</f>
        <v>5839.3524470000002</v>
      </c>
      <c r="I17" s="13">
        <f t="shared" si="0"/>
        <v>6331.0375561300007</v>
      </c>
    </row>
    <row r="18" spans="2:9" ht="15.5" x14ac:dyDescent="0.35">
      <c r="B18" s="27" t="s">
        <v>12</v>
      </c>
      <c r="C18" s="13">
        <f>('[3]14_15 fleet'!$D271+'[3]14_15 fleet'!$D286+'[3]14_15 fleet'!$D301+'[3]14_15 fleet'!$D316)/1000000</f>
        <v>1353.7340549600001</v>
      </c>
      <c r="D18" s="13">
        <f>('[3]14_15 fleet'!$D391+'[3]14_15 fleet'!$D406+'[3]14_15 fleet'!$D421+'[3]14_15 fleet'!$D436)/1000000</f>
        <v>357.73984037000002</v>
      </c>
      <c r="E18" s="13">
        <f>('[3]14_15 fleet'!$D$361+'[3]14_15 fleet'!$D$376)/1000000</f>
        <v>120.009871</v>
      </c>
      <c r="F18" s="13">
        <f>('[3]14_15 fleet'!$D241+'[3]14_15 fleet'!$D256)/1000000</f>
        <v>15.85625522</v>
      </c>
      <c r="G18" s="13">
        <f>('[3]14_15 fleet'!$D331+'[3]14_15 fleet'!$D346)/1000000</f>
        <v>16.177917730000001</v>
      </c>
      <c r="H18" s="29">
        <f>[7]Otago!$K$8/1000000</f>
        <v>2275.7435829999999</v>
      </c>
      <c r="I18" s="13">
        <f t="shared" si="0"/>
        <v>1863.5179392800003</v>
      </c>
    </row>
    <row r="19" spans="2:9" ht="16" thickBot="1" x14ac:dyDescent="0.4">
      <c r="B19" s="27" t="s">
        <v>13</v>
      </c>
      <c r="C19" s="15">
        <f>('[3]14_15 fleet'!$D272+'[3]14_15 fleet'!$D287+'[3]14_15 fleet'!$D302+'[3]14_15 fleet'!$D317)/1000000</f>
        <v>705.02020149999998</v>
      </c>
      <c r="D19" s="15">
        <f>('[3]14_15 fleet'!$D392+'[3]14_15 fleet'!$D407+'[3]14_15 fleet'!$D422+'[3]14_15 fleet'!$D437)/1000000</f>
        <v>253.98291541</v>
      </c>
      <c r="E19" s="15">
        <f>('[3]14_15 fleet'!$D$362+'[3]14_15 fleet'!$D$377)/1000000</f>
        <v>98.44429740999999</v>
      </c>
      <c r="F19" s="15">
        <f>('[3]14_15 fleet'!$D242+'[3]14_15 fleet'!$D257)/1000000</f>
        <v>7.1054825600000004</v>
      </c>
      <c r="G19" s="15">
        <f>('[3]14_15 fleet'!$D332+'[3]14_15 fleet'!$D347)/1000000</f>
        <v>7.4794773800000005</v>
      </c>
      <c r="H19" s="29">
        <f>[7]Southland!$K$8/1000000</f>
        <v>1091.082811</v>
      </c>
      <c r="I19" s="13">
        <f t="shared" si="0"/>
        <v>1072.0323742599999</v>
      </c>
    </row>
    <row r="20" spans="2:9" ht="34.5" customHeight="1" thickTop="1" thickBot="1" x14ac:dyDescent="0.4">
      <c r="B20" s="20" t="s">
        <v>20</v>
      </c>
      <c r="C20" s="4">
        <f>(SUM('[3]14_15 fleet'!$D$258:$D$272)+SUM('[3]14_15 fleet'!$D$273:$D$287)+SUM('[3]14_15 fleet'!$D$288:$D$302)+SUM('[3]14_15 fleet'!$D$303:$D$317))/1000000</f>
        <v>32148.551379830005</v>
      </c>
      <c r="D20" s="4">
        <f>(SUM('[3]14_15 fleet'!$D$378:$D$392)+SUM('[3]14_15 fleet'!$D$393:$D$407)+SUM('[3]14_15 fleet'!$D$408:$D$422)+SUM('[3]14_15 fleet'!$D$423:$D$437))/1000000</f>
        <v>7067.6098135199991</v>
      </c>
      <c r="E20" s="4">
        <f>SUM('[3]14_15 fleet'!$D$348:$D$377)/1000000</f>
        <v>2811.1442321399991</v>
      </c>
      <c r="F20" s="4">
        <f>(SUM('[3]14_15 fleet'!$D$228:$D$242)+SUM('[3]14_15 fleet'!$D$243:$D$257))/1000000</f>
        <v>263.52151129999999</v>
      </c>
      <c r="G20" s="4">
        <f>(SUM('[3]14_15 fleet'!$D$318:$D$347))/1000000</f>
        <v>399.98066571000004</v>
      </c>
      <c r="H20" s="21"/>
      <c r="I20" s="9">
        <f t="shared" si="0"/>
        <v>42690.807602500005</v>
      </c>
    </row>
    <row r="21" spans="2:9" ht="32" thickTop="1" thickBot="1" x14ac:dyDescent="0.4">
      <c r="B21" s="31" t="s">
        <v>23</v>
      </c>
      <c r="C21" s="9">
        <f t="shared" ref="C21:H21" si="1">SUM(C6:C19)</f>
        <v>32147.954450419995</v>
      </c>
      <c r="D21" s="9">
        <f t="shared" si="1"/>
        <v>7067.2962512499998</v>
      </c>
      <c r="E21" s="9">
        <f t="shared" si="1"/>
        <v>2768.8292271999999</v>
      </c>
      <c r="F21" s="9">
        <f t="shared" si="1"/>
        <v>257.87212411000007</v>
      </c>
      <c r="G21" s="9">
        <f t="shared" si="1"/>
        <v>386.96057236999997</v>
      </c>
      <c r="H21" s="9">
        <f t="shared" si="1"/>
        <v>42530.159046000001</v>
      </c>
      <c r="I21" s="10"/>
    </row>
    <row r="22" spans="2:9" ht="16.5" thickTop="1" thickBot="1" x14ac:dyDescent="0.4">
      <c r="B22" s="8" t="s">
        <v>97</v>
      </c>
      <c r="C22" s="9">
        <f>('[3]14_15 fleet'!$D$258+'[3]14_15 fleet'!$D$273+'[3]14_15 fleet'!$D$288+'[3]14_15 fleet'!$D$303)/1000000</f>
        <v>0.59692940999999988</v>
      </c>
      <c r="D22" s="9">
        <f>('[3]14_15 fleet'!$D$378+'[3]14_15 fleet'!$D$393+'[3]14_15 fleet'!$D$408+'[3]14_15 fleet'!$D$423)/1000000</f>
        <v>0.31356227000000003</v>
      </c>
      <c r="E22" s="9">
        <f>('[3]14_15 fleet'!$D$348+'[3]14_15 fleet'!$D$363)/1000000</f>
        <v>42.315004939999994</v>
      </c>
      <c r="F22" s="9">
        <f>('[3]14_15 fleet'!$D$228+'[3]14_15 fleet'!$D$243)/1000000</f>
        <v>5.6493871900000006</v>
      </c>
      <c r="G22" s="9">
        <f>('[3]14_15 fleet'!$D$318+'[3]14_15 fleet'!$D$333)/1000000</f>
        <v>13.020093340000001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32148.551379829994</v>
      </c>
      <c r="D23" s="9">
        <f>D21+D22</f>
        <v>7067.60981352</v>
      </c>
      <c r="E23" s="9">
        <f>E22+E21</f>
        <v>2811.14423214</v>
      </c>
      <c r="F23" s="9">
        <f>F21+F22</f>
        <v>263.5215113000001</v>
      </c>
      <c r="G23" s="9">
        <f>G21+G22</f>
        <v>399.98066570999998</v>
      </c>
      <c r="H23" s="10"/>
      <c r="I23" s="10"/>
    </row>
    <row r="24" spans="2:9" ht="13" thickTop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4:K30"/>
  <sheetViews>
    <sheetView workbookViewId="0">
      <selection activeCell="B30" sqref="B30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2014-15 Data'!C6*C$22*$J6</f>
        <v>1234.8097626669858</v>
      </c>
      <c r="D6" s="11">
        <f>'Original 2014-15 Data'!D6*D$22*$J6</f>
        <v>359.47402904530486</v>
      </c>
      <c r="E6" s="11">
        <f>'Original 2014-15 Data'!E6*E$22*$J6</f>
        <v>141.72576536799093</v>
      </c>
      <c r="F6" s="11">
        <f>'Original 2014-15 Data'!F6*F$22*$J6</f>
        <v>11.633802891815147</v>
      </c>
      <c r="G6" s="11">
        <f>'Original 2014-15 Data'!G6*G$22*$J6</f>
        <v>13.485359116357262</v>
      </c>
      <c r="H6" s="11">
        <f>'Original 2014-15 Data'!H6*'Original 2014-15 Data'!$I$20/'Original 2014-15 Data'!$H$21</f>
        <v>1761.1287190884539</v>
      </c>
      <c r="I6" s="11">
        <f>SUM(C6:G6)</f>
        <v>1761.1287190884541</v>
      </c>
      <c r="J6" s="12">
        <v>1.1148014807140438</v>
      </c>
      <c r="K6" s="12">
        <f>J6*H6/I6</f>
        <v>1.1148014807140436</v>
      </c>
    </row>
    <row r="7" spans="2:11" ht="15.5" x14ac:dyDescent="0.35">
      <c r="B7" s="24" t="s">
        <v>1</v>
      </c>
      <c r="C7" s="13">
        <f>'Original 2014-15 Data'!C7*C$22*$J7</f>
        <v>10382.313625753499</v>
      </c>
      <c r="D7" s="13">
        <f>'Original 2014-15 Data'!D7*D$22*$J7</f>
        <v>1503.9178234037272</v>
      </c>
      <c r="E7" s="13">
        <f>'Original 2014-15 Data'!E7*E$22*$J7</f>
        <v>621.32383738757562</v>
      </c>
      <c r="F7" s="13">
        <f>'Original 2014-15 Data'!F7*F$22*$J7</f>
        <v>89.958725264677341</v>
      </c>
      <c r="G7" s="13">
        <f>'Original 2014-15 Data'!G7*G$22*$J7</f>
        <v>101.69226394154018</v>
      </c>
      <c r="H7" s="13">
        <f>'Original 2014-15 Data'!H7*'Original 2014-15 Data'!$I$20/'Original 2014-15 Data'!$H$21</f>
        <v>12699.206275751019</v>
      </c>
      <c r="I7" s="13">
        <f t="shared" ref="I7:I20" si="0">SUM(C7:G7)</f>
        <v>12699.206275751019</v>
      </c>
      <c r="J7" s="14">
        <v>0.94078000823423502</v>
      </c>
      <c r="K7" s="14">
        <f t="shared" ref="K7:K19" si="1">J7*H7/I7</f>
        <v>0.94078000823423491</v>
      </c>
    </row>
    <row r="8" spans="2:11" ht="15.5" x14ac:dyDescent="0.35">
      <c r="B8" s="24" t="s">
        <v>2</v>
      </c>
      <c r="C8" s="13">
        <f>'Original 2014-15 Data'!C8*C$22*$J8</f>
        <v>3915.9824601516216</v>
      </c>
      <c r="D8" s="13">
        <f>'Original 2014-15 Data'!D8*D$22*$J8</f>
        <v>971.23057092037072</v>
      </c>
      <c r="E8" s="13">
        <f>'Original 2014-15 Data'!E8*E$22*$J8</f>
        <v>406.30331344723265</v>
      </c>
      <c r="F8" s="13">
        <f>'Original 2014-15 Data'!F8*F$22*$J8</f>
        <v>20.835262851845872</v>
      </c>
      <c r="G8" s="13">
        <f>'Original 2014-15 Data'!G8*G$22*$J8</f>
        <v>47.636998519517796</v>
      </c>
      <c r="H8" s="13">
        <f>'Original 2014-15 Data'!H8*'Original 2014-15 Data'!$I$20/'Original 2014-15 Data'!$H$21</f>
        <v>5361.9886058905895</v>
      </c>
      <c r="I8" s="13">
        <f t="shared" si="0"/>
        <v>5361.9886058905886</v>
      </c>
      <c r="J8" s="14">
        <v>1.2027235164647647</v>
      </c>
      <c r="K8" s="14">
        <f t="shared" si="1"/>
        <v>1.2027235164647649</v>
      </c>
    </row>
    <row r="9" spans="2:11" ht="15.5" x14ac:dyDescent="0.35">
      <c r="B9" s="24" t="s">
        <v>3</v>
      </c>
      <c r="C9" s="13">
        <f>'Original 2014-15 Data'!C9*C$22*$J9</f>
        <v>1958.2973608280238</v>
      </c>
      <c r="D9" s="13">
        <f>'Original 2014-15 Data'!D9*D$22*$J9</f>
        <v>520.96875547306979</v>
      </c>
      <c r="E9" s="13">
        <f>'Original 2014-15 Data'!E9*E$22*$J9</f>
        <v>227.06239639810516</v>
      </c>
      <c r="F9" s="13">
        <f>'Original 2014-15 Data'!F9*F$22*$J9</f>
        <v>14.472403850445561</v>
      </c>
      <c r="G9" s="13">
        <f>'Original 2014-15 Data'!G9*G$22*$J9</f>
        <v>26.84427444526807</v>
      </c>
      <c r="H9" s="13">
        <f>'Original 2014-15 Data'!H9*'Original 2014-15 Data'!$I$20/'Original 2014-15 Data'!$H$21</f>
        <v>2747.6451909949124</v>
      </c>
      <c r="I9" s="13">
        <f t="shared" si="0"/>
        <v>2747.6451909949124</v>
      </c>
      <c r="J9" s="14">
        <v>0.84666102048952063</v>
      </c>
      <c r="K9" s="14">
        <f t="shared" si="1"/>
        <v>0.84666102048952063</v>
      </c>
    </row>
    <row r="10" spans="2:11" ht="15.5" x14ac:dyDescent="0.35">
      <c r="B10" s="24" t="s">
        <v>4</v>
      </c>
      <c r="C10" s="13">
        <f>'Original 2014-15 Data'!C10*C$22*$J10</f>
        <v>250.49922510618026</v>
      </c>
      <c r="D10" s="13">
        <f>'Original 2014-15 Data'!D10*D$22*$J10</f>
        <v>109.88376097047974</v>
      </c>
      <c r="E10" s="13">
        <f>'Original 2014-15 Data'!E10*E$22*$J10</f>
        <v>36.934309376738085</v>
      </c>
      <c r="F10" s="13">
        <f>'Original 2014-15 Data'!F10*F$22*$J10</f>
        <v>2.0051713428473192</v>
      </c>
      <c r="G10" s="13">
        <f>'Original 2014-15 Data'!G10*G$22*$J10</f>
        <v>2.908456882893673</v>
      </c>
      <c r="H10" s="13">
        <f>'Original 2014-15 Data'!H10*'Original 2014-15 Data'!$I$20/'Original 2014-15 Data'!$H$21</f>
        <v>402.23092367913915</v>
      </c>
      <c r="I10" s="13">
        <f t="shared" si="0"/>
        <v>402.2309236791391</v>
      </c>
      <c r="J10" s="14">
        <v>1.0792875201510201</v>
      </c>
      <c r="K10" s="14">
        <f t="shared" si="1"/>
        <v>1.0792875201510204</v>
      </c>
    </row>
    <row r="11" spans="2:11" ht="15.5" x14ac:dyDescent="0.35">
      <c r="B11" s="24" t="s">
        <v>5</v>
      </c>
      <c r="C11" s="13">
        <f>'Original 2014-15 Data'!C11*C$22*$J11</f>
        <v>1072.1987805887825</v>
      </c>
      <c r="D11" s="13">
        <f>'Original 2014-15 Data'!D11*D$22*$J11</f>
        <v>292.52815830320537</v>
      </c>
      <c r="E11" s="13">
        <f>'Original 2014-15 Data'!E11*E$22*$J11</f>
        <v>110.27688080452752</v>
      </c>
      <c r="F11" s="13">
        <f>'Original 2014-15 Data'!F11*F$22*$J11</f>
        <v>5.4696381884381386</v>
      </c>
      <c r="G11" s="13">
        <f>'Original 2014-15 Data'!G11*G$22*$J11</f>
        <v>13.325722064347435</v>
      </c>
      <c r="H11" s="13">
        <f>'Original 2014-15 Data'!H11*'Original 2014-15 Data'!$I$20/'Original 2014-15 Data'!$H$21</f>
        <v>1493.7991799493011</v>
      </c>
      <c r="I11" s="13">
        <f t="shared" si="0"/>
        <v>1493.7991799493011</v>
      </c>
      <c r="J11" s="14">
        <v>1.0386110689423673</v>
      </c>
      <c r="K11" s="14">
        <f t="shared" si="1"/>
        <v>1.0386110689423673</v>
      </c>
    </row>
    <row r="12" spans="2:11" ht="15.5" x14ac:dyDescent="0.35">
      <c r="B12" s="24" t="s">
        <v>6</v>
      </c>
      <c r="C12" s="13">
        <f>'Original 2014-15 Data'!C12*C$22*$J12</f>
        <v>765.10585109360647</v>
      </c>
      <c r="D12" s="13">
        <f>'Original 2014-15 Data'!D12*D$22*$J12</f>
        <v>201.0008889926157</v>
      </c>
      <c r="E12" s="13">
        <f>'Original 2014-15 Data'!E12*E$22*$J12</f>
        <v>95.017511822066183</v>
      </c>
      <c r="F12" s="13">
        <f>'Original 2014-15 Data'!F12*F$22*$J12</f>
        <v>3.8117059405101812</v>
      </c>
      <c r="G12" s="13">
        <f>'Original 2014-15 Data'!G12*G$22*$J12</f>
        <v>12.593895910580988</v>
      </c>
      <c r="H12" s="13">
        <f>'Original 2014-15 Data'!H12*'Original 2014-15 Data'!$I$20/'Original 2014-15 Data'!$H$21</f>
        <v>1077.5298537593796</v>
      </c>
      <c r="I12" s="13">
        <f t="shared" si="0"/>
        <v>1077.5298537593796</v>
      </c>
      <c r="J12" s="14">
        <v>0.98794262892152129</v>
      </c>
      <c r="K12" s="14">
        <f t="shared" si="1"/>
        <v>0.98794262892152129</v>
      </c>
    </row>
    <row r="13" spans="2:11" ht="15.5" x14ac:dyDescent="0.35">
      <c r="B13" s="24" t="s">
        <v>7</v>
      </c>
      <c r="C13" s="13">
        <f>'Original 2014-15 Data'!C13*C$22*$J13</f>
        <v>1717.5454206810266</v>
      </c>
      <c r="D13" s="13">
        <f>'Original 2014-15 Data'!D13*D$22*$J13</f>
        <v>464.51235325575487</v>
      </c>
      <c r="E13" s="13">
        <f>'Original 2014-15 Data'!E13*E$22*$J13</f>
        <v>199.05709684352797</v>
      </c>
      <c r="F13" s="13">
        <f>'Original 2014-15 Data'!F13*F$22*$J13</f>
        <v>8.8252999028763366</v>
      </c>
      <c r="G13" s="13">
        <f>'Original 2014-15 Data'!G13*G$22*$J13</f>
        <v>26.744921835507391</v>
      </c>
      <c r="H13" s="13">
        <f>'Original 2014-15 Data'!H13*'Original 2014-15 Data'!$I$20/'Original 2014-15 Data'!$H$21</f>
        <v>2416.6850925186936</v>
      </c>
      <c r="I13" s="13">
        <f t="shared" si="0"/>
        <v>2416.6850925186932</v>
      </c>
      <c r="J13" s="14">
        <v>1.1049819804935372</v>
      </c>
      <c r="K13" s="14">
        <f t="shared" si="1"/>
        <v>1.1049819804935375</v>
      </c>
    </row>
    <row r="14" spans="2:11" ht="15.5" x14ac:dyDescent="0.35">
      <c r="B14" s="24" t="s">
        <v>8</v>
      </c>
      <c r="C14" s="13">
        <f>'Original 2014-15 Data'!C14*C$22*$J14</f>
        <v>3006.3253878802329</v>
      </c>
      <c r="D14" s="13">
        <f>'Original 2014-15 Data'!D14*D$22*$J14</f>
        <v>499.76676788026606</v>
      </c>
      <c r="E14" s="13">
        <f>'Original 2014-15 Data'!E14*E$22*$J14</f>
        <v>146.71155515151918</v>
      </c>
      <c r="F14" s="13">
        <f>'Original 2014-15 Data'!F14*F$22*$J14</f>
        <v>22.689049401236158</v>
      </c>
      <c r="G14" s="13">
        <f>'Original 2014-15 Data'!G14*G$22*$J14</f>
        <v>46.803830474764027</v>
      </c>
      <c r="H14" s="13">
        <f>'Original 2014-15 Data'!H14*'Original 2014-15 Data'!$I$20/'Original 2014-15 Data'!$H$21</f>
        <v>3722.2965907880184</v>
      </c>
      <c r="I14" s="13">
        <f t="shared" si="0"/>
        <v>3722.296590788018</v>
      </c>
      <c r="J14" s="14">
        <v>0.98086562807960653</v>
      </c>
      <c r="K14" s="14">
        <f t="shared" si="1"/>
        <v>0.98086562807960664</v>
      </c>
    </row>
    <row r="15" spans="2:11" ht="15.5" x14ac:dyDescent="0.35">
      <c r="B15" s="24" t="s">
        <v>9</v>
      </c>
      <c r="C15" s="13">
        <f>'Original 2014-15 Data'!C15*C$22*$J15</f>
        <v>858.04498228312059</v>
      </c>
      <c r="D15" s="13">
        <f>'Original 2014-15 Data'!D15*D$22*$J15</f>
        <v>263.67856131271287</v>
      </c>
      <c r="E15" s="13">
        <f>'Original 2014-15 Data'!E15*E$22*$J15</f>
        <v>94.411223487199464</v>
      </c>
      <c r="F15" s="13">
        <f>'Original 2014-15 Data'!F15*F$22*$J15</f>
        <v>6.4734157441534528</v>
      </c>
      <c r="G15" s="13">
        <f>'Original 2014-15 Data'!G15*G$22*$J15</f>
        <v>17.174473811878244</v>
      </c>
      <c r="H15" s="13">
        <f>'Original 2014-15 Data'!H15*'Original 2014-15 Data'!$I$20/'Original 2014-15 Data'!$H$21</f>
        <v>1239.7826566390645</v>
      </c>
      <c r="I15" s="13">
        <f t="shared" si="0"/>
        <v>1239.7826566390647</v>
      </c>
      <c r="J15" s="14">
        <v>0.88056144895921207</v>
      </c>
      <c r="K15" s="14">
        <f t="shared" si="1"/>
        <v>0.88056144895921196</v>
      </c>
    </row>
    <row r="16" spans="2:11" ht="15.5" x14ac:dyDescent="0.35">
      <c r="B16" s="24" t="s">
        <v>10</v>
      </c>
      <c r="C16" s="13">
        <f>'Original 2014-15 Data'!C16*C$22*$J16</f>
        <v>335.31409851827163</v>
      </c>
      <c r="D16" s="13">
        <f>'Original 2014-15 Data'!D16*D$22*$J16</f>
        <v>130.55144613689384</v>
      </c>
      <c r="E16" s="13">
        <f>'Original 2014-15 Data'!E16*E$22*$J16</f>
        <v>51.199204018245595</v>
      </c>
      <c r="F16" s="13">
        <f>'Original 2014-15 Data'!F16*F$22*$J16</f>
        <v>3.8237875581235587</v>
      </c>
      <c r="G16" s="13">
        <f>'Original 2014-15 Data'!G16*G$22*$J16</f>
        <v>6.6727696224627238</v>
      </c>
      <c r="H16" s="13">
        <f>'Original 2014-15 Data'!H16*'Original 2014-15 Data'!$I$20/'Original 2014-15 Data'!$H$21</f>
        <v>527.5613058539974</v>
      </c>
      <c r="I16" s="13">
        <f t="shared" si="0"/>
        <v>527.56130585399728</v>
      </c>
      <c r="J16" s="14">
        <v>1.5485751926002089</v>
      </c>
      <c r="K16" s="14">
        <f t="shared" si="1"/>
        <v>1.5485751926002094</v>
      </c>
    </row>
    <row r="17" spans="2:11" ht="15.5" x14ac:dyDescent="0.35">
      <c r="B17" s="24" t="s">
        <v>11</v>
      </c>
      <c r="C17" s="13">
        <f>'Original 2014-15 Data'!C17*C$22*$J17</f>
        <v>4267.8352747887011</v>
      </c>
      <c r="D17" s="13">
        <f>'Original 2014-15 Data'!D17*D$22*$J17</f>
        <v>1059.8036204793086</v>
      </c>
      <c r="E17" s="13">
        <f>'Original 2014-15 Data'!E17*E$22*$J17</f>
        <v>432.02884000366595</v>
      </c>
      <c r="F17" s="13">
        <f>'Original 2014-15 Data'!F17*F$22*$J17</f>
        <v>46.0293653129538</v>
      </c>
      <c r="G17" s="13">
        <f>'Original 2014-15 Data'!G17*G$22*$J17</f>
        <v>55.712248212767172</v>
      </c>
      <c r="H17" s="13">
        <f>'Original 2014-15 Data'!H17*'Original 2014-15 Data'!$I$20/'Original 2014-15 Data'!$H$21</f>
        <v>5861.4093487973978</v>
      </c>
      <c r="I17" s="13">
        <f t="shared" si="0"/>
        <v>5861.4093487973969</v>
      </c>
      <c r="J17" s="14">
        <v>0.92458458498521645</v>
      </c>
      <c r="K17" s="14">
        <f t="shared" si="1"/>
        <v>0.92458458498521667</v>
      </c>
    </row>
    <row r="18" spans="2:11" ht="15.5" x14ac:dyDescent="0.35">
      <c r="B18" s="24" t="s">
        <v>12</v>
      </c>
      <c r="C18" s="13">
        <f>'Original 2014-15 Data'!C18*C$22*$J18</f>
        <v>1662.3212104101217</v>
      </c>
      <c r="D18" s="13">
        <f>'Original 2014-15 Data'!D18*D$22*$J18</f>
        <v>433.6002545737739</v>
      </c>
      <c r="E18" s="13">
        <f>'Original 2014-15 Data'!E18*E$22*$J18</f>
        <v>147.91666617185348</v>
      </c>
      <c r="F18" s="13">
        <f>'Original 2014-15 Data'!F18*F$22*$J18</f>
        <v>20.014483270765375</v>
      </c>
      <c r="G18" s="13">
        <f>'Original 2014-15 Data'!G18*G$22*$J18</f>
        <v>20.487101994423131</v>
      </c>
      <c r="H18" s="13">
        <f>'Original 2014-15 Data'!H18*'Original 2014-15 Data'!$I$20/'Original 2014-15 Data'!$H$21</f>
        <v>2284.3397164209373</v>
      </c>
      <c r="I18" s="13">
        <f t="shared" si="0"/>
        <v>2284.3397164209377</v>
      </c>
      <c r="J18" s="14">
        <v>1.2243584883613843</v>
      </c>
      <c r="K18" s="14">
        <f t="shared" si="1"/>
        <v>1.2243584883613838</v>
      </c>
    </row>
    <row r="19" spans="2:11" ht="16" thickBot="1" x14ac:dyDescent="0.4">
      <c r="B19" s="25" t="s">
        <v>13</v>
      </c>
      <c r="C19" s="15">
        <f>'Original 2014-15 Data'!C19*C$22*$J19</f>
        <v>721.93474035273982</v>
      </c>
      <c r="D19" s="15">
        <f>'Original 2014-15 Data'!D19*D$22*$J19</f>
        <v>256.70924618429348</v>
      </c>
      <c r="E19" s="15">
        <f>'Original 2014-15 Data'!E19*E$22*$J19</f>
        <v>101.18252022580538</v>
      </c>
      <c r="F19" s="15">
        <f>'Original 2014-15 Data'!F19*F$22*$J19</f>
        <v>7.4791478762437498</v>
      </c>
      <c r="G19" s="15">
        <f>'Original 2014-15 Data'!G19*G$22*$J19</f>
        <v>7.8984877300179157</v>
      </c>
      <c r="H19" s="15">
        <f>'Original 2014-15 Data'!H19*'Original 2014-15 Data'!$I$20/'Original 2014-15 Data'!$H$21</f>
        <v>1095.2041423691005</v>
      </c>
      <c r="I19" s="15">
        <f t="shared" si="0"/>
        <v>1095.2041423691003</v>
      </c>
      <c r="J19" s="16">
        <v>1.0209944568360041</v>
      </c>
      <c r="K19" s="16">
        <f t="shared" si="1"/>
        <v>1.0209944568360043</v>
      </c>
    </row>
    <row r="20" spans="2:11" ht="32.25" customHeight="1" thickTop="1" thickBot="1" x14ac:dyDescent="0.4">
      <c r="B20" s="20" t="s">
        <v>20</v>
      </c>
      <c r="C20" s="4">
        <f>'Original 2014-15 Data'!C20</f>
        <v>32148.551379830005</v>
      </c>
      <c r="D20" s="4">
        <f>'Original 2014-15 Data'!D20</f>
        <v>7067.6098135199991</v>
      </c>
      <c r="E20" s="4">
        <f>'Original 2014-15 Data'!E20</f>
        <v>2811.1442321399991</v>
      </c>
      <c r="F20" s="4">
        <f>'Original 2014-15 Data'!F20</f>
        <v>263.52151129999999</v>
      </c>
      <c r="G20" s="4">
        <f>'Original 2014-15 Data'!G20</f>
        <v>399.98066571000004</v>
      </c>
      <c r="H20" s="5"/>
      <c r="I20" s="9">
        <f t="shared" si="0"/>
        <v>42690.807602500005</v>
      </c>
    </row>
    <row r="21" spans="2:11" ht="32" thickTop="1" thickBot="1" x14ac:dyDescent="0.4">
      <c r="B21" s="31" t="s">
        <v>23</v>
      </c>
      <c r="C21" s="9">
        <f t="shared" ref="C21:H21" si="2">SUM(C6:C19)</f>
        <v>32148.528181102916</v>
      </c>
      <c r="D21" s="9">
        <f t="shared" si="2"/>
        <v>7067.6262369317774</v>
      </c>
      <c r="E21" s="9">
        <f t="shared" si="2"/>
        <v>2811.1511205060533</v>
      </c>
      <c r="F21" s="9">
        <f t="shared" si="2"/>
        <v>263.52125939693201</v>
      </c>
      <c r="G21" s="9">
        <f t="shared" si="2"/>
        <v>399.980804562326</v>
      </c>
      <c r="H21" s="9">
        <f t="shared" si="2"/>
        <v>42690.807602499997</v>
      </c>
      <c r="I21" s="6"/>
    </row>
    <row r="22" spans="2:11" ht="16.5" thickTop="1" thickBot="1" x14ac:dyDescent="0.4">
      <c r="B22" s="8" t="s">
        <v>16</v>
      </c>
      <c r="C22" s="10">
        <v>1.0029354805668012</v>
      </c>
      <c r="D22" s="10">
        <v>0.98995082781403865</v>
      </c>
      <c r="E22" s="10">
        <v>1.006680241123356</v>
      </c>
      <c r="F22" s="10">
        <v>1.0309441961070975</v>
      </c>
      <c r="G22" s="10">
        <v>1.034306634631176</v>
      </c>
      <c r="H22" s="17"/>
    </row>
    <row r="23" spans="2:11" ht="16.5" thickTop="1" thickBot="1" x14ac:dyDescent="0.4">
      <c r="B23" s="8" t="s">
        <v>17</v>
      </c>
      <c r="C23" s="10">
        <f>C22*C20/C21</f>
        <v>1.0029362042959364</v>
      </c>
      <c r="D23" s="10">
        <f>D22*D20/D21</f>
        <v>0.98994852741365802</v>
      </c>
      <c r="E23" s="10">
        <f>E22*E20/E21</f>
        <v>1.0066777743822584</v>
      </c>
      <c r="F23" s="10">
        <f>F22*F20/F21</f>
        <v>1.0309451815987671</v>
      </c>
      <c r="G23" s="10">
        <f>G22*G20/G21</f>
        <v>1.0343062755742405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4:I24"/>
  <sheetViews>
    <sheetView workbookViewId="0">
      <selection activeCell="C16" sqref="C16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('[4]15_16 fleet'!$D259+'[4]15_16 fleet'!$D274+'[4]15_16 fleet'!$D289+'[4]15_16 fleet'!$D304)/1000000</f>
        <v>1142.6367848499999</v>
      </c>
      <c r="D6" s="11">
        <f>('[4]15_16 fleet'!$D379+'[4]15_16 fleet'!$D394+'[4]15_16 fleet'!$D409+'[4]15_16 fleet'!$D424)/1000000</f>
        <v>343.81327999000001</v>
      </c>
      <c r="E6" s="11">
        <f>('[4]15_16 fleet'!$D$349+'[4]15_16 fleet'!$D$364)/1000000</f>
        <v>128.67080478</v>
      </c>
      <c r="F6" s="11">
        <f>('[4]15_16 fleet'!$D229+'[4]15_16 fleet'!$D244)/1000000</f>
        <v>10.05566133</v>
      </c>
      <c r="G6" s="11">
        <f>('[4]15_16 fleet'!$D319+'[4]15_16 fleet'!$D334)/1000000</f>
        <v>12.537344600000001</v>
      </c>
      <c r="H6" s="28">
        <f>[7]Northland!$L$8/1000000</f>
        <v>1780.82672</v>
      </c>
      <c r="I6" s="13">
        <f>SUM(C6:G6)</f>
        <v>1637.71387555</v>
      </c>
    </row>
    <row r="7" spans="2:9" ht="15.5" x14ac:dyDescent="0.35">
      <c r="B7" s="27" t="s">
        <v>1</v>
      </c>
      <c r="C7" s="13">
        <f>('[4]15_16 fleet'!$D260+'[4]15_16 fleet'!$D275+'[4]15_16 fleet'!$D290+'[4]15_16 fleet'!$D305)/1000000</f>
        <v>11483.379964959999</v>
      </c>
      <c r="D7" s="13">
        <f>('[4]15_16 fleet'!$D380+'[4]15_16 fleet'!$D395+'[4]15_16 fleet'!$D410+'[4]15_16 fleet'!$D425)/1000000</f>
        <v>1827.1651515000001</v>
      </c>
      <c r="E7" s="13">
        <f>('[4]15_16 fleet'!$D$350+'[4]15_16 fleet'!$D$365)/1000000</f>
        <v>690.77475908000008</v>
      </c>
      <c r="F7" s="13">
        <f>('[4]15_16 fleet'!$D230+'[4]15_16 fleet'!$D245)/1000000</f>
        <v>97.089784589999994</v>
      </c>
      <c r="G7" s="13">
        <f>('[4]15_16 fleet'!$D320+'[4]15_16 fleet'!$D335)/1000000</f>
        <v>110.25136005</v>
      </c>
      <c r="H7" s="29">
        <f>[7]Auckland!$L$8/1000000</f>
        <v>12626.203600999999</v>
      </c>
      <c r="I7" s="13">
        <f t="shared" ref="I7:I20" si="0">SUM(C7:G7)</f>
        <v>14208.661020179999</v>
      </c>
    </row>
    <row r="8" spans="2:9" ht="15.5" x14ac:dyDescent="0.35">
      <c r="B8" s="27" t="s">
        <v>2</v>
      </c>
      <c r="C8" s="13">
        <f>('[4]15_16 fleet'!$D261+'[4]15_16 fleet'!$D276+'[4]15_16 fleet'!$D291+'[4]15_16 fleet'!$D306)/1000000</f>
        <v>3378.1666798200004</v>
      </c>
      <c r="D8" s="13">
        <f>('[4]15_16 fleet'!$D381+'[4]15_16 fleet'!$D396+'[4]15_16 fleet'!$D411+'[4]15_16 fleet'!$D426)/1000000</f>
        <v>864.47114303000001</v>
      </c>
      <c r="E8" s="13">
        <f>('[4]15_16 fleet'!$D$351+'[4]15_16 fleet'!$D$366)/1000000</f>
        <v>341.52518610999999</v>
      </c>
      <c r="F8" s="13">
        <f>('[4]15_16 fleet'!$D231+'[4]15_16 fleet'!$D246)/1000000</f>
        <v>17.852518589999999</v>
      </c>
      <c r="G8" s="13">
        <f>('[4]15_16 fleet'!$D321+'[4]15_16 fleet'!$D336)/1000000</f>
        <v>39.460214030000003</v>
      </c>
      <c r="H8" s="29">
        <f>[7]Waikato!$L$8/1000000</f>
        <v>5470.1267690000004</v>
      </c>
      <c r="I8" s="13">
        <f t="shared" si="0"/>
        <v>4641.4757415800004</v>
      </c>
    </row>
    <row r="9" spans="2:9" ht="15.5" x14ac:dyDescent="0.35">
      <c r="B9" s="27" t="s">
        <v>3</v>
      </c>
      <c r="C9" s="13">
        <f>('[4]15_16 fleet'!$D262+'[4]15_16 fleet'!$D277+'[4]15_16 fleet'!$D292+'[4]15_16 fleet'!$D307)/1000000</f>
        <v>2413.3157834099998</v>
      </c>
      <c r="D9" s="13">
        <f>('[4]15_16 fleet'!$D382+'[4]15_16 fleet'!$D397+'[4]15_16 fleet'!$D412+'[4]15_16 fleet'!$D427)/1000000</f>
        <v>669.00232333999986</v>
      </c>
      <c r="E9" s="13">
        <f>('[4]15_16 fleet'!$D$352+'[4]15_16 fleet'!$D$367)/1000000</f>
        <v>272.68694703000006</v>
      </c>
      <c r="F9" s="13">
        <f>('[4]15_16 fleet'!$D232+'[4]15_16 fleet'!$D247)/1000000</f>
        <v>17.903074480000001</v>
      </c>
      <c r="G9" s="13">
        <f>('[4]15_16 fleet'!$D322+'[4]15_16 fleet'!$D337)/1000000</f>
        <v>32.300547209999998</v>
      </c>
      <c r="H9" s="29">
        <f>'[7]Bay of Plenty'!$L$8/1000000</f>
        <v>2758.4853760000001</v>
      </c>
      <c r="I9" s="13">
        <f t="shared" si="0"/>
        <v>3405.2086754699999</v>
      </c>
    </row>
    <row r="10" spans="2:9" ht="15.5" x14ac:dyDescent="0.35">
      <c r="B10" s="27" t="s">
        <v>4</v>
      </c>
      <c r="C10" s="13">
        <f>('[4]15_16 fleet'!$D263+'[4]15_16 fleet'!$D278+'[4]15_16 fleet'!$D293+'[4]15_16 fleet'!$D308)/1000000</f>
        <v>234.91012252000002</v>
      </c>
      <c r="D10" s="13">
        <f>('[4]15_16 fleet'!$D383+'[4]15_16 fleet'!$D398+'[4]15_16 fleet'!$D413+'[4]15_16 fleet'!$D428)/1000000</f>
        <v>107.13080771999999</v>
      </c>
      <c r="E10" s="13">
        <f>('[4]15_16 fleet'!$D$353+'[4]15_16 fleet'!$D$368)/1000000</f>
        <v>31.367036880000004</v>
      </c>
      <c r="F10" s="13">
        <f>('[4]15_16 fleet'!$D233+'[4]15_16 fleet'!$D248)/1000000</f>
        <v>1.8600733899999999</v>
      </c>
      <c r="G10" s="13">
        <f>('[4]15_16 fleet'!$D323+'[4]15_16 fleet'!$D338)/1000000</f>
        <v>2.6992057900000002</v>
      </c>
      <c r="H10" s="29">
        <f>[7]Gisborne!$L$8/1000000</f>
        <v>399.92392000000001</v>
      </c>
      <c r="I10" s="13">
        <f t="shared" si="0"/>
        <v>377.96724630000006</v>
      </c>
    </row>
    <row r="11" spans="2:9" ht="15.5" x14ac:dyDescent="0.35">
      <c r="B11" s="27" t="s">
        <v>5</v>
      </c>
      <c r="C11" s="13">
        <f>('[4]15_16 fleet'!$D264+'[4]15_16 fleet'!$D279+'[4]15_16 fleet'!$D294+'[4]15_16 fleet'!$D309)/1000000</f>
        <v>1064.87520535</v>
      </c>
      <c r="D11" s="13">
        <f>('[4]15_16 fleet'!$D384+'[4]15_16 fleet'!$D399+'[4]15_16 fleet'!$D414+'[4]15_16 fleet'!$D429)/1000000</f>
        <v>302.55118441999997</v>
      </c>
      <c r="E11" s="13">
        <f>('[4]15_16 fleet'!$D$354+'[4]15_16 fleet'!$D$369)/1000000</f>
        <v>105.82278565</v>
      </c>
      <c r="F11" s="13">
        <f>('[4]15_16 fleet'!$D234+'[4]15_16 fleet'!$D249)/1000000</f>
        <v>5.041518159999999</v>
      </c>
      <c r="G11" s="13">
        <f>('[4]15_16 fleet'!$D324+'[4]15_16 fleet'!$D339)/1000000</f>
        <v>12.89414835</v>
      </c>
      <c r="H11" s="29">
        <f>'[7]Hawke''s Bay'!$L$8/1000000</f>
        <v>1516.034191</v>
      </c>
      <c r="I11" s="13">
        <f t="shared" si="0"/>
        <v>1491.1848419299999</v>
      </c>
    </row>
    <row r="12" spans="2:9" ht="15.5" x14ac:dyDescent="0.35">
      <c r="B12" s="27" t="s">
        <v>6</v>
      </c>
      <c r="C12" s="13">
        <f>('[4]15_16 fleet'!$D265+'[4]15_16 fleet'!$D280+'[4]15_16 fleet'!$D295+'[4]15_16 fleet'!$D310)/1000000</f>
        <v>783.81759317000001</v>
      </c>
      <c r="D12" s="13">
        <f>('[4]15_16 fleet'!$D385+'[4]15_16 fleet'!$D400+'[4]15_16 fleet'!$D415+'[4]15_16 fleet'!$D430)/1000000</f>
        <v>212.53217554</v>
      </c>
      <c r="E12" s="13">
        <f>('[4]15_16 fleet'!$D$355+'[4]15_16 fleet'!$D$370)/1000000</f>
        <v>95.975444080000003</v>
      </c>
      <c r="F12" s="13">
        <f>('[4]15_16 fleet'!$D235+'[4]15_16 fleet'!$D250)/1000000</f>
        <v>3.3578371799999998</v>
      </c>
      <c r="G12" s="13">
        <f>('[4]15_16 fleet'!$D325+'[4]15_16 fleet'!$D340)/1000000</f>
        <v>13.00836522</v>
      </c>
      <c r="H12" s="29">
        <f>[7]Taranaki!$L$8/1000000</f>
        <v>1082.715829</v>
      </c>
      <c r="I12" s="13">
        <f t="shared" si="0"/>
        <v>1108.69141519</v>
      </c>
    </row>
    <row r="13" spans="2:9" ht="15.5" x14ac:dyDescent="0.35">
      <c r="B13" s="27" t="s">
        <v>7</v>
      </c>
      <c r="C13" s="13">
        <f>('[4]15_16 fleet'!$D266+'[4]15_16 fleet'!$D281+'[4]15_16 fleet'!$D296+'[4]15_16 fleet'!$D311)/1000000</f>
        <v>1586.0066752900002</v>
      </c>
      <c r="D13" s="13">
        <f>('[4]15_16 fleet'!$D386+'[4]15_16 fleet'!$D401+'[4]15_16 fleet'!$D416+'[4]15_16 fleet'!$D431)/1000000</f>
        <v>451.52480729999996</v>
      </c>
      <c r="E13" s="13">
        <f>('[4]15_16 fleet'!$D$356+'[4]15_16 fleet'!$D$371)/1000000</f>
        <v>184.22490279000002</v>
      </c>
      <c r="F13" s="13">
        <f>('[4]15_16 fleet'!$D236+'[4]15_16 fleet'!$D251)/1000000</f>
        <v>7.9316956999999997</v>
      </c>
      <c r="G13" s="13">
        <f>('[4]15_16 fleet'!$D326+'[4]15_16 fleet'!$D341)/1000000</f>
        <v>25.12350769</v>
      </c>
      <c r="H13" s="29">
        <f>[7]Manawatu!$L$8/1000000</f>
        <v>2461.335251</v>
      </c>
      <c r="I13" s="13">
        <f t="shared" si="0"/>
        <v>2254.8115887700005</v>
      </c>
    </row>
    <row r="14" spans="2:9" ht="15.5" x14ac:dyDescent="0.35">
      <c r="B14" s="27" t="s">
        <v>8</v>
      </c>
      <c r="C14" s="13">
        <f>('[4]15_16 fleet'!$D267+'[4]15_16 fleet'!$D282+'[4]15_16 fleet'!$D297+'[4]15_16 fleet'!$D312)/1000000</f>
        <v>3122.7044615299997</v>
      </c>
      <c r="D14" s="13">
        <f>('[4]15_16 fleet'!$D387+'[4]15_16 fleet'!$D402+'[4]15_16 fleet'!$D417+'[4]15_16 fleet'!$D432)/1000000</f>
        <v>542.33986751999998</v>
      </c>
      <c r="E14" s="13">
        <f>('[4]15_16 fleet'!$D$357+'[4]15_16 fleet'!$D$372)/1000000</f>
        <v>153.72444651999999</v>
      </c>
      <c r="F14" s="13">
        <f>('[4]15_16 fleet'!$D237+'[4]15_16 fleet'!$D252)/1000000</f>
        <v>21.386748730000001</v>
      </c>
      <c r="G14" s="13">
        <f>('[4]15_16 fleet'!$D327+'[4]15_16 fleet'!$D342)/1000000</f>
        <v>47.839879490000001</v>
      </c>
      <c r="H14" s="29">
        <f>[7]Wellington!$L$8/1000000</f>
        <v>3526.817767</v>
      </c>
      <c r="I14" s="13">
        <f t="shared" si="0"/>
        <v>3887.9954037899997</v>
      </c>
    </row>
    <row r="15" spans="2:9" ht="15.5" x14ac:dyDescent="0.35">
      <c r="B15" s="27" t="s">
        <v>9</v>
      </c>
      <c r="C15" s="13">
        <f>('[4]15_16 fleet'!$D268+'[4]15_16 fleet'!$D283+'[4]15_16 fleet'!$D298+'[4]15_16 fleet'!$D313)/1000000</f>
        <v>1059.8833823099999</v>
      </c>
      <c r="D15" s="13">
        <f>('[4]15_16 fleet'!$D388+'[4]15_16 fleet'!$D403+'[4]15_16 fleet'!$D418+'[4]15_16 fleet'!$D433)/1000000</f>
        <v>322.45852177999996</v>
      </c>
      <c r="E15" s="13">
        <f>('[4]15_16 fleet'!$D$358+'[4]15_16 fleet'!$D$373)/1000000</f>
        <v>107.54160916999999</v>
      </c>
      <c r="F15" s="13">
        <f>('[4]15_16 fleet'!$D238+'[4]15_16 fleet'!$D253)/1000000</f>
        <v>7.051762720000001</v>
      </c>
      <c r="G15" s="13">
        <f>('[4]15_16 fleet'!$D328+'[4]15_16 fleet'!$D343)/1000000</f>
        <v>20.018806599999998</v>
      </c>
      <c r="H15" s="29">
        <f>[7]TMN!$L$8/1000000</f>
        <v>1394.458697</v>
      </c>
      <c r="I15" s="13">
        <f t="shared" si="0"/>
        <v>1516.9540825799997</v>
      </c>
    </row>
    <row r="16" spans="2:9" ht="15.5" x14ac:dyDescent="0.35">
      <c r="B16" s="27" t="s">
        <v>10</v>
      </c>
      <c r="C16" s="13">
        <f>('[4]15_16 fleet'!$D269+'[4]15_16 fleet'!$D284+'[4]15_16 fleet'!$D299+'[4]15_16 fleet'!$D314)/1000000</f>
        <v>214.29084997999999</v>
      </c>
      <c r="D16" s="13">
        <f>('[4]15_16 fleet'!$D389+'[4]15_16 fleet'!$D404+'[4]15_16 fleet'!$D419+'[4]15_16 fleet'!$D434)/1000000</f>
        <v>81.283557979999983</v>
      </c>
      <c r="E16" s="13">
        <f>('[4]15_16 fleet'!$D$359+'[4]15_16 fleet'!$D$374)/1000000</f>
        <v>32.317802610000001</v>
      </c>
      <c r="F16" s="13">
        <f>('[4]15_16 fleet'!$D239+'[4]15_16 fleet'!$D254)/1000000</f>
        <v>1.92642197</v>
      </c>
      <c r="G16" s="13">
        <f>('[4]15_16 fleet'!$D329+'[4]15_16 fleet'!$D344)/1000000</f>
        <v>3.87560211</v>
      </c>
      <c r="H16" s="29">
        <f>'[7]West Coast'!$L$8/1000000</f>
        <v>535.00930700000004</v>
      </c>
      <c r="I16" s="13">
        <f t="shared" si="0"/>
        <v>333.69423464999994</v>
      </c>
    </row>
    <row r="17" spans="2:9" ht="15.5" x14ac:dyDescent="0.35">
      <c r="B17" s="27" t="s">
        <v>11</v>
      </c>
      <c r="C17" s="13">
        <f>('[4]15_16 fleet'!$D270+'[4]15_16 fleet'!$D285+'[4]15_16 fleet'!$D300+'[4]15_16 fleet'!$D315)/1000000</f>
        <v>4733.3005249999997</v>
      </c>
      <c r="D17" s="13">
        <f>('[4]15_16 fleet'!$D390+'[4]15_16 fleet'!$D405+'[4]15_16 fleet'!$D420+'[4]15_16 fleet'!$D435)/1000000</f>
        <v>1211.9488520499999</v>
      </c>
      <c r="E17" s="13">
        <f>('[4]15_16 fleet'!$D$360+'[4]15_16 fleet'!$D$375)/1000000</f>
        <v>465.07951617999993</v>
      </c>
      <c r="F17" s="13">
        <f>('[4]15_16 fleet'!$D240+'[4]15_16 fleet'!$D255)/1000000</f>
        <v>51.992173449999996</v>
      </c>
      <c r="G17" s="13">
        <f>('[4]15_16 fleet'!$D330+'[4]15_16 fleet'!$D345)/1000000</f>
        <v>61.384366569999997</v>
      </c>
      <c r="H17" s="29">
        <f>[7]Canterbury!$L$8/1000000</f>
        <v>6009.7287230000002</v>
      </c>
      <c r="I17" s="13">
        <f t="shared" si="0"/>
        <v>6523.7054332499993</v>
      </c>
    </row>
    <row r="18" spans="2:9" ht="15.5" x14ac:dyDescent="0.35">
      <c r="B18" s="27" t="s">
        <v>12</v>
      </c>
      <c r="C18" s="13">
        <f>('[4]15_16 fleet'!$D271+'[4]15_16 fleet'!$D286+'[4]15_16 fleet'!$D301+'[4]15_16 fleet'!$D316)/1000000</f>
        <v>1404.57303527</v>
      </c>
      <c r="D18" s="13">
        <f>('[4]15_16 fleet'!$D391+'[4]15_16 fleet'!$D406+'[4]15_16 fleet'!$D421+'[4]15_16 fleet'!$D436)/1000000</f>
        <v>381.24587639999999</v>
      </c>
      <c r="E18" s="13">
        <f>('[4]15_16 fleet'!$D$361+'[4]15_16 fleet'!$D$376)/1000000</f>
        <v>121.13718618</v>
      </c>
      <c r="F18" s="13">
        <f>('[4]15_16 fleet'!$D241+'[4]15_16 fleet'!$D256)/1000000</f>
        <v>15.496611049999998</v>
      </c>
      <c r="G18" s="13">
        <f>('[4]15_16 fleet'!$D331+'[4]15_16 fleet'!$D346)/1000000</f>
        <v>16.878339580000002</v>
      </c>
      <c r="H18" s="29">
        <f>[7]Otago!$L$8/1000000</f>
        <v>2304.9764449999998</v>
      </c>
      <c r="I18" s="13">
        <f t="shared" si="0"/>
        <v>1939.3310484800002</v>
      </c>
    </row>
    <row r="19" spans="2:9" ht="16" thickBot="1" x14ac:dyDescent="0.4">
      <c r="B19" s="27" t="s">
        <v>13</v>
      </c>
      <c r="C19" s="15">
        <f>('[4]15_16 fleet'!$D272+'[4]15_16 fleet'!$D287+'[4]15_16 fleet'!$D302+'[4]15_16 fleet'!$D317)/1000000</f>
        <v>719.76130674000001</v>
      </c>
      <c r="D19" s="15">
        <f>('[4]15_16 fleet'!$D392+'[4]15_16 fleet'!$D407+'[4]15_16 fleet'!$D422+'[4]15_16 fleet'!$D437)/1000000</f>
        <v>264.16760821000003</v>
      </c>
      <c r="E19" s="15">
        <f>('[4]15_16 fleet'!$D$362+'[4]15_16 fleet'!$D$377)/1000000</f>
        <v>100.75191218000001</v>
      </c>
      <c r="F19" s="15">
        <f>('[4]15_16 fleet'!$D242+'[4]15_16 fleet'!$D257)/1000000</f>
        <v>7.7276006299999995</v>
      </c>
      <c r="G19" s="15">
        <f>('[4]15_16 fleet'!$D332+'[4]15_16 fleet'!$D347)/1000000</f>
        <v>7.6975099900000004</v>
      </c>
      <c r="H19" s="29">
        <f>[7]Southland!$L$8/1000000</f>
        <v>1191.6495500000001</v>
      </c>
      <c r="I19" s="13">
        <f t="shared" si="0"/>
        <v>1100.1059377500003</v>
      </c>
    </row>
    <row r="20" spans="2:9" ht="34.5" customHeight="1" thickTop="1" thickBot="1" x14ac:dyDescent="0.4">
      <c r="B20" s="20" t="s">
        <v>20</v>
      </c>
      <c r="C20" s="4">
        <f>(SUM('[4]15_16 fleet'!$D$258:$D$272)+SUM('[4]15_16 fleet'!$D$273:$D$287)+SUM('[4]15_16 fleet'!$D$288:$D$302)+SUM('[4]15_16 fleet'!$D$303:$D$317))/1000000</f>
        <v>33342.354963440004</v>
      </c>
      <c r="D20" s="4">
        <f>(SUM('[4]15_16 fleet'!$D$378:$D$392)+SUM('[4]15_16 fleet'!$D$393:$D$407)+SUM('[4]15_16 fleet'!$D$408:$D$422)+SUM('[4]15_16 fleet'!$D$423:$D$437))/1000000</f>
        <v>7582.2723646699997</v>
      </c>
      <c r="E20" s="4">
        <f>SUM('[4]15_16 fleet'!$D$348:$D$377)/1000000</f>
        <v>2886.4540566200003</v>
      </c>
      <c r="F20" s="4">
        <f>(SUM('[4]15_16 fleet'!$D$228:$D$242)+SUM('[4]15_16 fleet'!$D$243:$D$257))/1000000</f>
        <v>272.01090876999996</v>
      </c>
      <c r="G20" s="4">
        <f>(SUM('[4]15_16 fleet'!$D$318:$D$347))/1000000</f>
        <v>417.5910132300001</v>
      </c>
      <c r="H20" s="21"/>
      <c r="I20" s="9">
        <f t="shared" si="0"/>
        <v>44500.683306729996</v>
      </c>
    </row>
    <row r="21" spans="2:9" ht="32" thickTop="1" thickBot="1" x14ac:dyDescent="0.4">
      <c r="B21" s="31" t="s">
        <v>23</v>
      </c>
      <c r="C21" s="9">
        <f t="shared" ref="C21:H21" si="1">SUM(C6:C19)</f>
        <v>33341.622370199992</v>
      </c>
      <c r="D21" s="9">
        <f t="shared" si="1"/>
        <v>7581.6351567800002</v>
      </c>
      <c r="E21" s="9">
        <f t="shared" si="1"/>
        <v>2831.6003392400003</v>
      </c>
      <c r="F21" s="9">
        <f t="shared" si="1"/>
        <v>266.67348196999995</v>
      </c>
      <c r="G21" s="9">
        <f t="shared" si="1"/>
        <v>405.96919728</v>
      </c>
      <c r="H21" s="9">
        <f t="shared" si="1"/>
        <v>43058.292146000007</v>
      </c>
      <c r="I21" s="10"/>
    </row>
    <row r="22" spans="2:9" ht="16.5" thickTop="1" thickBot="1" x14ac:dyDescent="0.4">
      <c r="B22" s="8" t="s">
        <v>97</v>
      </c>
      <c r="C22" s="9">
        <f>('[4]15_16 fleet'!$D$258+'[4]15_16 fleet'!$D$273+'[4]15_16 fleet'!$D$288+'[4]15_16 fleet'!$D$303)/1000000</f>
        <v>0.73259324000000003</v>
      </c>
      <c r="D22" s="9">
        <f>('[4]15_16 fleet'!$D$378+'[4]15_16 fleet'!$D$393+'[4]15_16 fleet'!$D$408+'[4]15_16 fleet'!$D$423)/1000000</f>
        <v>0.63720788999999989</v>
      </c>
      <c r="E22" s="9">
        <f>('[4]15_16 fleet'!$D$348+'[4]15_16 fleet'!$D$363)/1000000</f>
        <v>54.853717379999992</v>
      </c>
      <c r="F22" s="9">
        <f>('[4]15_16 fleet'!$D$228+'[4]15_16 fleet'!$D$243)/1000000</f>
        <v>5.3374268000000002</v>
      </c>
      <c r="G22" s="9">
        <f>('[4]15_16 fleet'!$D$318+'[4]15_16 fleet'!$D$333)/1000000</f>
        <v>11.621815949999998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33342.35496343999</v>
      </c>
      <c r="D23" s="9">
        <f>D21+D22</f>
        <v>7582.2723646700006</v>
      </c>
      <c r="E23" s="9">
        <f>E22+E21</f>
        <v>2886.4540566200003</v>
      </c>
      <c r="F23" s="9">
        <f>F21+F22</f>
        <v>272.01090876999996</v>
      </c>
      <c r="G23" s="9">
        <f>G21+G22</f>
        <v>417.59101322999999</v>
      </c>
      <c r="H23" s="10"/>
      <c r="I23" s="10"/>
    </row>
    <row r="24" spans="2:9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4:K30"/>
  <sheetViews>
    <sheetView workbookViewId="0">
      <selection activeCell="B30" sqref="B30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2015-16 Data'!C6*C$22*$J6</f>
        <v>1288.7107796555235</v>
      </c>
      <c r="D6" s="11">
        <f>'Original 2015-16 Data'!D6*D$22*$J6</f>
        <v>380.50854846858238</v>
      </c>
      <c r="E6" s="11">
        <f>'Original 2015-16 Data'!E6*E$22*$J6</f>
        <v>145.12569054563383</v>
      </c>
      <c r="F6" s="11">
        <f>'Original 2015-16 Data'!F6*F$22*$J6</f>
        <v>11.652795408584044</v>
      </c>
      <c r="G6" s="11">
        <f>'Original 2015-16 Data'!G6*G$22*$J6</f>
        <v>14.484052275603073</v>
      </c>
      <c r="H6" s="11">
        <f>'Original 2015-16 Data'!H6*'Original 2015-16 Data'!$I$20/'Original 2015-16 Data'!$H$21</f>
        <v>1840.481866353927</v>
      </c>
      <c r="I6" s="11">
        <f>SUM(C6:G6)</f>
        <v>1840.481866353927</v>
      </c>
      <c r="J6" s="12">
        <v>1.1227544643933003</v>
      </c>
      <c r="K6" s="12">
        <f>J6*H6/I6</f>
        <v>1.1227544643933003</v>
      </c>
    </row>
    <row r="7" spans="2:11" ht="15.5" x14ac:dyDescent="0.35">
      <c r="B7" s="24" t="s">
        <v>1</v>
      </c>
      <c r="C7" s="13">
        <f>'Original 2015-16 Data'!C7*C$22*$J7</f>
        <v>10567.714879712083</v>
      </c>
      <c r="D7" s="13">
        <f>'Original 2015-16 Data'!D7*D$22*$J7</f>
        <v>1649.9989438473494</v>
      </c>
      <c r="E7" s="13">
        <f>'Original 2015-16 Data'!E7*E$22*$J7</f>
        <v>635.71847683363285</v>
      </c>
      <c r="F7" s="13">
        <f>'Original 2015-16 Data'!F7*F$22*$J7</f>
        <v>91.803050625011281</v>
      </c>
      <c r="G7" s="13">
        <f>'Original 2015-16 Data'!G7*G$22*$J7</f>
        <v>103.92799966050693</v>
      </c>
      <c r="H7" s="13">
        <f>'Original 2015-16 Data'!H7*'Original 2015-16 Data'!$I$20/'Original 2015-16 Data'!$H$21</f>
        <v>13049.163350678584</v>
      </c>
      <c r="I7" s="13">
        <f t="shared" ref="I7:I20" si="0">SUM(C7:G7)</f>
        <v>13049.163350678584</v>
      </c>
      <c r="J7" s="14">
        <v>0.91611265570178946</v>
      </c>
      <c r="K7" s="14">
        <f t="shared" ref="K7:K19" si="1">J7*H7/I7</f>
        <v>0.91611265570178946</v>
      </c>
    </row>
    <row r="8" spans="2:11" ht="15.5" x14ac:dyDescent="0.35">
      <c r="B8" s="24" t="s">
        <v>2</v>
      </c>
      <c r="C8" s="13">
        <f>'Original 2015-16 Data'!C8*C$22*$J8</f>
        <v>4127.7311806454254</v>
      </c>
      <c r="D8" s="13">
        <f>'Original 2015-16 Data'!D8*D$22*$J8</f>
        <v>1036.514407274625</v>
      </c>
      <c r="E8" s="13">
        <f>'Original 2015-16 Data'!E8*E$22*$J8</f>
        <v>417.32085698264092</v>
      </c>
      <c r="F8" s="13">
        <f>'Original 2015-16 Data'!F8*F$22*$J8</f>
        <v>22.413106218844494</v>
      </c>
      <c r="G8" s="13">
        <f>'Original 2015-16 Data'!G8*G$22*$J8</f>
        <v>49.388635650559948</v>
      </c>
      <c r="H8" s="13">
        <f>'Original 2015-16 Data'!H8*'Original 2015-16 Data'!$I$20/'Original 2015-16 Data'!$H$21</f>
        <v>5653.3681867720952</v>
      </c>
      <c r="I8" s="13">
        <f t="shared" si="0"/>
        <v>5653.3681867720961</v>
      </c>
      <c r="J8" s="14">
        <v>1.2163760558604098</v>
      </c>
      <c r="K8" s="14">
        <f t="shared" si="1"/>
        <v>1.2163760558604095</v>
      </c>
    </row>
    <row r="9" spans="2:11" ht="15.5" x14ac:dyDescent="0.35">
      <c r="B9" s="24" t="s">
        <v>3</v>
      </c>
      <c r="C9" s="13">
        <f>'Original 2015-16 Data'!C9*C$22*$J9</f>
        <v>2027.1505458435281</v>
      </c>
      <c r="D9" s="13">
        <f>'Original 2015-16 Data'!D9*D$22*$J9</f>
        <v>551.43456595711041</v>
      </c>
      <c r="E9" s="13">
        <f>'Original 2015-16 Data'!E9*E$22*$J9</f>
        <v>229.06209102137444</v>
      </c>
      <c r="F9" s="13">
        <f>'Original 2015-16 Data'!F9*F$22*$J9</f>
        <v>15.451537176180921</v>
      </c>
      <c r="G9" s="13">
        <f>'Original 2015-16 Data'!G9*G$22*$J9</f>
        <v>27.791948080932613</v>
      </c>
      <c r="H9" s="13">
        <f>'Original 2015-16 Data'!H9*'Original 2015-16 Data'!$I$20/'Original 2015-16 Data'!$H$21</f>
        <v>2850.8906880791264</v>
      </c>
      <c r="I9" s="13">
        <f t="shared" si="0"/>
        <v>2850.8906880791264</v>
      </c>
      <c r="J9" s="14">
        <v>0.83619849186265249</v>
      </c>
      <c r="K9" s="14">
        <f t="shared" si="1"/>
        <v>0.83619849186265249</v>
      </c>
    </row>
    <row r="10" spans="2:11" ht="15.5" x14ac:dyDescent="0.35">
      <c r="B10" s="24" t="s">
        <v>4</v>
      </c>
      <c r="C10" s="13">
        <f>'Original 2015-16 Data'!C10*C$22*$J10</f>
        <v>258.17168142557739</v>
      </c>
      <c r="D10" s="13">
        <f>'Original 2015-16 Data'!D10*D$22*$J10</f>
        <v>115.53558337347094</v>
      </c>
      <c r="E10" s="13">
        <f>'Original 2015-16 Data'!E10*E$22*$J10</f>
        <v>34.474453336572367</v>
      </c>
      <c r="F10" s="13">
        <f>'Original 2015-16 Data'!F10*F$22*$J10</f>
        <v>2.1004346546201038</v>
      </c>
      <c r="G10" s="13">
        <f>'Original 2015-16 Data'!G10*G$22*$J10</f>
        <v>3.0386461481188856</v>
      </c>
      <c r="H10" s="13">
        <f>'Original 2015-16 Data'!H10*'Original 2015-16 Data'!$I$20/'Original 2015-16 Data'!$H$21</f>
        <v>413.3207989383597</v>
      </c>
      <c r="I10" s="13">
        <f t="shared" si="0"/>
        <v>413.3207989383597</v>
      </c>
      <c r="J10" s="14">
        <v>1.0940682183915931</v>
      </c>
      <c r="K10" s="14">
        <f t="shared" si="1"/>
        <v>1.0940682183915931</v>
      </c>
    </row>
    <row r="11" spans="2:11" ht="15.5" x14ac:dyDescent="0.35">
      <c r="B11" s="24" t="s">
        <v>5</v>
      </c>
      <c r="C11" s="13">
        <f>'Original 2015-16 Data'!C11*C$22*$J11</f>
        <v>1122.8069078706169</v>
      </c>
      <c r="D11" s="13">
        <f>'Original 2015-16 Data'!D11*D$22*$J11</f>
        <v>313.03992346196588</v>
      </c>
      <c r="E11" s="13">
        <f>'Original 2015-16 Data'!E11*E$22*$J11</f>
        <v>111.58416614165577</v>
      </c>
      <c r="F11" s="13">
        <f>'Original 2015-16 Data'!F11*F$22*$J11</f>
        <v>5.461851902141678</v>
      </c>
      <c r="G11" s="13">
        <f>'Original 2015-16 Data'!G11*G$22*$J11</f>
        <v>13.926317234083857</v>
      </c>
      <c r="H11" s="13">
        <f>'Original 2015-16 Data'!H11*'Original 2015-16 Data'!$I$20/'Original 2015-16 Data'!$H$21</f>
        <v>1566.819166610464</v>
      </c>
      <c r="I11" s="13">
        <f t="shared" si="0"/>
        <v>1566.819166610464</v>
      </c>
      <c r="J11" s="14">
        <v>1.0496485046563371</v>
      </c>
      <c r="K11" s="14">
        <f t="shared" si="1"/>
        <v>1.0496485046563371</v>
      </c>
    </row>
    <row r="12" spans="2:11" ht="15.5" x14ac:dyDescent="0.35">
      <c r="B12" s="24" t="s">
        <v>6</v>
      </c>
      <c r="C12" s="13">
        <f>'Original 2015-16 Data'!C12*C$22*$J12</f>
        <v>793.64735901412735</v>
      </c>
      <c r="D12" s="13">
        <f>'Original 2015-16 Data'!D12*D$22*$J12</f>
        <v>211.16977947617161</v>
      </c>
      <c r="E12" s="13">
        <f>'Original 2015-16 Data'!E12*E$22*$J12</f>
        <v>97.182869967109781</v>
      </c>
      <c r="F12" s="13">
        <f>'Original 2015-16 Data'!F12*F$22*$J12</f>
        <v>3.4933687028547404</v>
      </c>
      <c r="G12" s="13">
        <f>'Original 2015-16 Data'!G12*G$22*$J12</f>
        <v>13.49188249984538</v>
      </c>
      <c r="H12" s="13">
        <f>'Original 2015-16 Data'!H12*'Original 2015-16 Data'!$I$20/'Original 2015-16 Data'!$H$21</f>
        <v>1118.9852596601086</v>
      </c>
      <c r="I12" s="13">
        <f t="shared" si="0"/>
        <v>1118.9852596601088</v>
      </c>
      <c r="J12" s="14">
        <v>1.0079757843397852</v>
      </c>
      <c r="K12" s="14">
        <f t="shared" si="1"/>
        <v>1.007975784339785</v>
      </c>
    </row>
    <row r="13" spans="2:11" ht="15.5" x14ac:dyDescent="0.35">
      <c r="B13" s="24" t="s">
        <v>7</v>
      </c>
      <c r="C13" s="13">
        <f>'Original 2015-16 Data'!C13*C$22*$J13</f>
        <v>1795.3310209191334</v>
      </c>
      <c r="D13" s="13">
        <f>'Original 2015-16 Data'!D13*D$22*$J13</f>
        <v>501.55163492894809</v>
      </c>
      <c r="E13" s="13">
        <f>'Original 2015-16 Data'!E13*E$22*$J13</f>
        <v>208.5474490765514</v>
      </c>
      <c r="F13" s="13">
        <f>'Original 2015-16 Data'!F13*F$22*$J13</f>
        <v>9.2252425092049108</v>
      </c>
      <c r="G13" s="13">
        <f>'Original 2015-16 Data'!G13*G$22*$J13</f>
        <v>29.131111746868683</v>
      </c>
      <c r="H13" s="13">
        <f>'Original 2015-16 Data'!H13*'Original 2015-16 Data'!$I$20/'Original 2015-16 Data'!$H$21</f>
        <v>2543.7864591807065</v>
      </c>
      <c r="I13" s="13">
        <f t="shared" si="0"/>
        <v>2543.7864591807061</v>
      </c>
      <c r="J13" s="14">
        <v>1.126878400544125</v>
      </c>
      <c r="K13" s="14">
        <f t="shared" si="1"/>
        <v>1.1268784005441252</v>
      </c>
    </row>
    <row r="14" spans="2:11" ht="15.5" x14ac:dyDescent="0.35">
      <c r="B14" s="24" t="s">
        <v>8</v>
      </c>
      <c r="C14" s="13">
        <f>'Original 2015-16 Data'!C14*C$22*$J14</f>
        <v>2933.8412085633213</v>
      </c>
      <c r="D14" s="13">
        <f>'Original 2015-16 Data'!D14*D$22*$J14</f>
        <v>500.00202321921444</v>
      </c>
      <c r="E14" s="13">
        <f>'Original 2015-16 Data'!E14*E$22*$J14</f>
        <v>144.43275007217164</v>
      </c>
      <c r="F14" s="13">
        <f>'Original 2015-16 Data'!F14*F$22*$J14</f>
        <v>20.645371917390143</v>
      </c>
      <c r="G14" s="13">
        <f>'Original 2015-16 Data'!G14*G$22*$J14</f>
        <v>46.039760747989206</v>
      </c>
      <c r="H14" s="13">
        <f>'Original 2015-16 Data'!H14*'Original 2015-16 Data'!$I$20/'Original 2015-16 Data'!$H$21</f>
        <v>3644.9611145200865</v>
      </c>
      <c r="I14" s="13">
        <f t="shared" si="0"/>
        <v>3644.9611145200865</v>
      </c>
      <c r="J14" s="14">
        <v>0.93528345350594422</v>
      </c>
      <c r="K14" s="14">
        <f t="shared" si="1"/>
        <v>0.93528345350594433</v>
      </c>
    </row>
    <row r="15" spans="2:11" ht="15.5" x14ac:dyDescent="0.35">
      <c r="B15" s="24" t="s">
        <v>9</v>
      </c>
      <c r="C15" s="13">
        <f>'Original 2015-16 Data'!C15*C$22*$J15</f>
        <v>1010.4984897971797</v>
      </c>
      <c r="D15" s="13">
        <f>'Original 2015-16 Data'!D15*D$22*$J15</f>
        <v>301.67960789763004</v>
      </c>
      <c r="E15" s="13">
        <f>'Original 2015-16 Data'!E15*E$22*$J15</f>
        <v>102.53476450188491</v>
      </c>
      <c r="F15" s="13">
        <f>'Original 2015-16 Data'!F15*F$22*$J15</f>
        <v>6.9079231858956813</v>
      </c>
      <c r="G15" s="13">
        <f>'Original 2015-16 Data'!G15*G$22*$J15</f>
        <v>19.550282180920426</v>
      </c>
      <c r="H15" s="13">
        <f>'Original 2015-16 Data'!H15*'Original 2015-16 Data'!$I$20/'Original 2015-16 Data'!$H$21</f>
        <v>1441.1710675635106</v>
      </c>
      <c r="I15" s="13">
        <f t="shared" si="0"/>
        <v>1441.1710675635109</v>
      </c>
      <c r="J15" s="14">
        <v>0.94910686851076165</v>
      </c>
      <c r="K15" s="14">
        <f t="shared" si="1"/>
        <v>0.94910686851076143</v>
      </c>
    </row>
    <row r="16" spans="2:11" ht="15.5" x14ac:dyDescent="0.35">
      <c r="B16" s="24" t="s">
        <v>10</v>
      </c>
      <c r="C16" s="13">
        <f>'Original 2015-16 Data'!C16*C$22*$J16</f>
        <v>356.54683401886132</v>
      </c>
      <c r="D16" s="13">
        <f>'Original 2015-16 Data'!D16*D$22*$J16</f>
        <v>132.71199349622168</v>
      </c>
      <c r="E16" s="13">
        <f>'Original 2015-16 Data'!E16*E$22*$J16</f>
        <v>53.773933142395627</v>
      </c>
      <c r="F16" s="13">
        <f>'Original 2015-16 Data'!F16*F$22*$J16</f>
        <v>3.2933402565423875</v>
      </c>
      <c r="G16" s="13">
        <f>'Original 2015-16 Data'!G16*G$22*$J16</f>
        <v>6.6052521510774138</v>
      </c>
      <c r="H16" s="13">
        <f>'Original 2015-16 Data'!H16*'Original 2015-16 Data'!$I$20/'Original 2015-16 Data'!$H$21</f>
        <v>552.93135306509839</v>
      </c>
      <c r="I16" s="13">
        <f t="shared" si="0"/>
        <v>552.93135306509839</v>
      </c>
      <c r="J16" s="14">
        <v>1.6563438042138947</v>
      </c>
      <c r="K16" s="14">
        <f t="shared" si="1"/>
        <v>1.6563438042138947</v>
      </c>
    </row>
    <row r="17" spans="2:11" ht="15.5" x14ac:dyDescent="0.35">
      <c r="B17" s="24" t="s">
        <v>11</v>
      </c>
      <c r="C17" s="13">
        <f>'Original 2015-16 Data'!C17*C$22*$J17</f>
        <v>4520.1290565498166</v>
      </c>
      <c r="D17" s="13">
        <f>'Original 2015-16 Data'!D17*D$22*$J17</f>
        <v>1135.7050512415083</v>
      </c>
      <c r="E17" s="13">
        <f>'Original 2015-16 Data'!E17*E$22*$J17</f>
        <v>444.15135276672709</v>
      </c>
      <c r="F17" s="13">
        <f>'Original 2015-16 Data'!F17*F$22*$J17</f>
        <v>51.014889636037587</v>
      </c>
      <c r="G17" s="13">
        <f>'Original 2015-16 Data'!G17*G$22*$J17</f>
        <v>60.045683744487782</v>
      </c>
      <c r="H17" s="13">
        <f>'Original 2015-16 Data'!H17*'Original 2015-16 Data'!$I$20/'Original 2015-16 Data'!$H$21</f>
        <v>6211.0460339385754</v>
      </c>
      <c r="I17" s="13">
        <f t="shared" si="0"/>
        <v>6211.0460339385772</v>
      </c>
      <c r="J17" s="14">
        <v>0.95065795321730617</v>
      </c>
      <c r="K17" s="14">
        <f t="shared" si="1"/>
        <v>0.95065795321730595</v>
      </c>
    </row>
    <row r="18" spans="2:11" ht="15.5" x14ac:dyDescent="0.35">
      <c r="B18" s="24" t="s">
        <v>12</v>
      </c>
      <c r="C18" s="13">
        <f>'Original 2015-16 Data'!C18*C$22*$J18</f>
        <v>1730.9344738287209</v>
      </c>
      <c r="D18" s="13">
        <f>'Original 2015-16 Data'!D18*D$22*$J18</f>
        <v>461.03719711760732</v>
      </c>
      <c r="E18" s="13">
        <f>'Original 2015-16 Data'!E18*E$22*$J18</f>
        <v>149.29002963131651</v>
      </c>
      <c r="F18" s="13">
        <f>'Original 2015-16 Data'!F18*F$22*$J18</f>
        <v>19.622089713548924</v>
      </c>
      <c r="G18" s="13">
        <f>'Original 2015-16 Data'!G18*G$22*$J18</f>
        <v>21.306066673350525</v>
      </c>
      <c r="H18" s="13">
        <f>'Original 2015-16 Data'!H18*'Original 2015-16 Data'!$I$20/'Original 2015-16 Data'!$H$21</f>
        <v>2382.1898569645446</v>
      </c>
      <c r="I18" s="13">
        <f t="shared" si="0"/>
        <v>2382.1898569645441</v>
      </c>
      <c r="J18" s="14">
        <v>1.2268001810945155</v>
      </c>
      <c r="K18" s="14">
        <f t="shared" si="1"/>
        <v>1.2268001810945157</v>
      </c>
    </row>
    <row r="19" spans="2:11" ht="16" thickBot="1" x14ac:dyDescent="0.4">
      <c r="B19" s="25" t="s">
        <v>13</v>
      </c>
      <c r="C19" s="15">
        <f>'Original 2015-16 Data'!C19*C$22*$J19</f>
        <v>809.11213135513538</v>
      </c>
      <c r="D19" s="15">
        <f>'Original 2015-16 Data'!D19*D$22*$J19</f>
        <v>291.40318302494006</v>
      </c>
      <c r="E19" s="15">
        <f>'Original 2015-16 Data'!E19*E$22*$J19</f>
        <v>113.26364560172489</v>
      </c>
      <c r="F19" s="15">
        <f>'Original 2015-16 Data'!F19*F$22*$J19</f>
        <v>8.9255936143670827</v>
      </c>
      <c r="G19" s="15">
        <f>'Original 2015-16 Data'!G19*G$22*$J19</f>
        <v>8.8635508086328034</v>
      </c>
      <c r="H19" s="15">
        <f>'Original 2015-16 Data'!H19*'Original 2015-16 Data'!$I$20/'Original 2015-16 Data'!$H$21</f>
        <v>1231.5681044047999</v>
      </c>
      <c r="I19" s="15">
        <f t="shared" si="0"/>
        <v>1231.5681044048001</v>
      </c>
      <c r="J19" s="16">
        <v>1.119071272960058</v>
      </c>
      <c r="K19" s="16">
        <f t="shared" si="1"/>
        <v>1.1190712729600578</v>
      </c>
    </row>
    <row r="20" spans="2:11" ht="32.25" customHeight="1" thickTop="1" thickBot="1" x14ac:dyDescent="0.4">
      <c r="B20" s="20" t="s">
        <v>20</v>
      </c>
      <c r="C20" s="4">
        <f>'Original 2015-16 Data'!C20</f>
        <v>33342.354963440004</v>
      </c>
      <c r="D20" s="4">
        <f>'Original 2015-16 Data'!D20</f>
        <v>7582.2723646699997</v>
      </c>
      <c r="E20" s="4">
        <f>'Original 2015-16 Data'!E20</f>
        <v>2886.4540566200003</v>
      </c>
      <c r="F20" s="4">
        <f>'Original 2015-16 Data'!F20</f>
        <v>272.01090876999996</v>
      </c>
      <c r="G20" s="4">
        <f>'Original 2015-16 Data'!G20</f>
        <v>417.5910132300001</v>
      </c>
      <c r="H20" s="5"/>
      <c r="I20" s="9">
        <f t="shared" si="0"/>
        <v>44500.683306729996</v>
      </c>
    </row>
    <row r="21" spans="2:11" ht="32" thickTop="1" thickBot="1" x14ac:dyDescent="0.4">
      <c r="B21" s="31" t="s">
        <v>23</v>
      </c>
      <c r="C21" s="9">
        <f t="shared" ref="C21:H21" si="2">SUM(C6:C19)</f>
        <v>33342.326549199053</v>
      </c>
      <c r="D21" s="9">
        <f t="shared" si="2"/>
        <v>7582.2924427853468</v>
      </c>
      <c r="E21" s="9">
        <f t="shared" si="2"/>
        <v>2886.4625296213922</v>
      </c>
      <c r="F21" s="9">
        <f t="shared" si="2"/>
        <v>272.01059552122399</v>
      </c>
      <c r="G21" s="9">
        <f t="shared" si="2"/>
        <v>417.59118960297752</v>
      </c>
      <c r="H21" s="9">
        <f t="shared" si="2"/>
        <v>44500.683306729981</v>
      </c>
      <c r="I21" s="6"/>
    </row>
    <row r="22" spans="2:11" ht="16.5" thickTop="1" thickBot="1" x14ac:dyDescent="0.4">
      <c r="B22" s="8" t="s">
        <v>16</v>
      </c>
      <c r="C22" s="10">
        <v>1.0045289779312769</v>
      </c>
      <c r="D22" s="10">
        <v>0.98572774312052036</v>
      </c>
      <c r="E22" s="10">
        <v>1.00456835046756</v>
      </c>
      <c r="F22" s="10">
        <v>1.032130692296388</v>
      </c>
      <c r="G22" s="10">
        <v>1.0289629325539038</v>
      </c>
      <c r="H22" s="17"/>
    </row>
    <row r="23" spans="2:11" ht="16.5" thickTop="1" thickBot="1" x14ac:dyDescent="0.4">
      <c r="B23" s="8" t="s">
        <v>17</v>
      </c>
      <c r="C23" s="10">
        <f>C22*C20/C21</f>
        <v>1.0045298339881683</v>
      </c>
      <c r="D23" s="10">
        <f>D22*D20/D21</f>
        <v>0.98572513288681118</v>
      </c>
      <c r="E23" s="10">
        <f>E22*E20/E21</f>
        <v>1.0045654016300316</v>
      </c>
      <c r="F23" s="10">
        <f>F22*F20/F21</f>
        <v>1.0321318809033075</v>
      </c>
      <c r="G23" s="10">
        <f>G22*G20/G21</f>
        <v>1.0289624979631831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C3:T36"/>
  <sheetViews>
    <sheetView zoomScaleNormal="100" workbookViewId="0">
      <selection activeCell="N35" sqref="N35"/>
    </sheetView>
  </sheetViews>
  <sheetFormatPr defaultRowHeight="12.5" x14ac:dyDescent="0.25"/>
  <cols>
    <col min="3" max="3" width="44" customWidth="1"/>
    <col min="4" max="15" width="17.81640625" customWidth="1"/>
    <col min="16" max="17" width="16.26953125" customWidth="1"/>
  </cols>
  <sheetData>
    <row r="3" spans="3:20" ht="13" thickBot="1" x14ac:dyDescent="0.3"/>
    <row r="4" spans="3:20" ht="16" thickTop="1" x14ac:dyDescent="0.35">
      <c r="C4" s="32" t="s">
        <v>47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  <c r="R4" s="18"/>
      <c r="S4" s="121"/>
    </row>
    <row r="5" spans="3:20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  <c r="R5" s="175"/>
      <c r="S5" s="65"/>
      <c r="T5" s="121"/>
    </row>
    <row r="6" spans="3:20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  <c r="R6" s="175"/>
      <c r="S6" s="65"/>
      <c r="T6" s="121"/>
    </row>
    <row r="7" spans="3:20" ht="16" thickTop="1" x14ac:dyDescent="0.35">
      <c r="C7" s="24" t="s">
        <v>113</v>
      </c>
      <c r="D7" s="52">
        <f>'Car+SUV'!D21-'Car+SUV'!D145</f>
        <v>30613.689355067952</v>
      </c>
      <c r="E7" s="53">
        <f>'Car+SUV'!E21-'Car+SUV'!E145</f>
        <v>31098.979572422566</v>
      </c>
      <c r="F7" s="53">
        <f>'Car+SUV'!F21-'Car+SUV'!F145</f>
        <v>31876.938732869763</v>
      </c>
      <c r="G7" s="53">
        <f>'Car+SUV'!G21-'Car+SUV'!G145</f>
        <v>33051.635057013067</v>
      </c>
      <c r="H7" s="53">
        <f>'Car+SUV'!H21-'Car+SUV'!H145</f>
        <v>34121.587861308311</v>
      </c>
      <c r="I7" s="53">
        <f>'Car+SUV'!I21-'Car+SUV'!I145</f>
        <v>35021.579534181445</v>
      </c>
      <c r="J7" s="53">
        <f ca="1">'Car+SUV'!J21-'Car+SUV'!J145</f>
        <v>37527.750121060206</v>
      </c>
      <c r="K7" s="53">
        <f ca="1">'Car+SUV'!K21-'Car+SUV'!K145</f>
        <v>36491.060975935623</v>
      </c>
      <c r="L7" s="53">
        <f ca="1">'Car+SUV'!L21-'Car+SUV'!L145</f>
        <v>35092.332167708213</v>
      </c>
      <c r="M7" s="53">
        <f ca="1">'Car+SUV'!M21-'Car+SUV'!M145</f>
        <v>33222.494972715787</v>
      </c>
      <c r="N7" s="53">
        <f ca="1">'Car+SUV'!N21-'Car+SUV'!N145</f>
        <v>31156.912816966018</v>
      </c>
      <c r="O7" s="53">
        <f ca="1">'Car+SUV'!O21-'Car+SUV'!O145</f>
        <v>28977.523766931386</v>
      </c>
      <c r="P7" s="53">
        <f ca="1">'Car+SUV'!P21-'Car+SUV'!P145</f>
        <v>26620.108860041524</v>
      </c>
      <c r="Q7" s="54">
        <f ca="1">'Car+SUV'!Q21-'Car+SUV'!Q145</f>
        <v>24083.053855462742</v>
      </c>
      <c r="R7" s="55"/>
      <c r="S7" s="56"/>
      <c r="T7" s="121"/>
    </row>
    <row r="8" spans="3:20" ht="15.5" x14ac:dyDescent="0.35">
      <c r="C8" s="24" t="s">
        <v>114</v>
      </c>
      <c r="D8" s="55">
        <f>'Van+Ute'!D21-'Van+Ute'!D145</f>
        <v>6225.763920082044</v>
      </c>
      <c r="E8" s="56">
        <f>'Van+Ute'!E21-'Van+Ute'!E145</f>
        <v>6562.575245763288</v>
      </c>
      <c r="F8" s="56">
        <f>'Van+Ute'!F21-'Van+Ute'!F145</f>
        <v>6996.3794099640199</v>
      </c>
      <c r="G8" s="56">
        <f>'Van+Ute'!G21-'Van+Ute'!G145</f>
        <v>7511.765142262976</v>
      </c>
      <c r="H8" s="56">
        <f>'Van+Ute'!H21-'Van+Ute'!H145</f>
        <v>8038.7908779505815</v>
      </c>
      <c r="I8" s="56">
        <f>'Van+Ute'!I21-'Van+Ute'!I145</f>
        <v>8728.4895697343072</v>
      </c>
      <c r="J8" s="56">
        <f ca="1">'Van+Ute'!J21-'Van+Ute'!J145</f>
        <v>9624.7058154418155</v>
      </c>
      <c r="K8" s="56">
        <f ca="1">'Van+Ute'!K21-'Van+Ute'!K145</f>
        <v>9971.5402735724747</v>
      </c>
      <c r="L8" s="56">
        <f ca="1">'Van+Ute'!L21-'Van+Ute'!L145</f>
        <v>10270.555475752579</v>
      </c>
      <c r="M8" s="56">
        <f ca="1">'Van+Ute'!M21-'Van+Ute'!M145</f>
        <v>10541.424373082949</v>
      </c>
      <c r="N8" s="56">
        <f ca="1">'Van+Ute'!N21-'Van+Ute'!N145</f>
        <v>10844.099752934317</v>
      </c>
      <c r="O8" s="56">
        <f ca="1">'Van+Ute'!O21-'Van+Ute'!O145</f>
        <v>11177.448002218618</v>
      </c>
      <c r="P8" s="56">
        <f ca="1">'Van+Ute'!P21-'Van+Ute'!P145</f>
        <v>11492.784175333241</v>
      </c>
      <c r="Q8" s="57">
        <f ca="1">'Van+Ute'!Q21-'Van+Ute'!Q145</f>
        <v>11764.273862684709</v>
      </c>
      <c r="R8" s="55"/>
      <c r="S8" s="56"/>
      <c r="T8" s="121"/>
    </row>
    <row r="9" spans="3:20" ht="15.5" x14ac:dyDescent="0.35">
      <c r="C9" s="24" t="s">
        <v>115</v>
      </c>
      <c r="D9" s="55">
        <f>'Car+SUV'!D145</f>
        <v>262.81779245548046</v>
      </c>
      <c r="E9" s="56">
        <f>'Car+SUV'!E145</f>
        <v>266.88733686006401</v>
      </c>
      <c r="F9" s="56">
        <f>'Car+SUV'!F145</f>
        <v>271.58944823315261</v>
      </c>
      <c r="G9" s="56">
        <f>'Car+SUV'!G145</f>
        <v>290.69149218598466</v>
      </c>
      <c r="H9" s="56">
        <f>'Car+SUV'!H145</f>
        <v>328.77035123657737</v>
      </c>
      <c r="I9" s="56">
        <f>'Car+SUV'!I145</f>
        <v>452.56277442402774</v>
      </c>
      <c r="J9" s="56">
        <f ca="1">'Car+SUV'!J145</f>
        <v>537.62050515392843</v>
      </c>
      <c r="K9" s="56">
        <f ca="1">'Car+SUV'!K145</f>
        <v>3881.2238123421612</v>
      </c>
      <c r="L9" s="56">
        <f ca="1">'Car+SUV'!L145</f>
        <v>7491.9334522248</v>
      </c>
      <c r="M9" s="56">
        <f ca="1">'Car+SUV'!M145</f>
        <v>11260.259852562698</v>
      </c>
      <c r="N9" s="56">
        <f ca="1">'Car+SUV'!N145</f>
        <v>15167.826705492509</v>
      </c>
      <c r="O9" s="56">
        <f ca="1">'Car+SUV'!O145</f>
        <v>19209.700876179741</v>
      </c>
      <c r="P9" s="56">
        <f ca="1">'Car+SUV'!P145</f>
        <v>23355.74409113713</v>
      </c>
      <c r="Q9" s="57">
        <f ca="1">'Car+SUV'!Q145</f>
        <v>27600.213517506047</v>
      </c>
      <c r="R9" s="55"/>
      <c r="S9" s="56"/>
      <c r="T9" s="121"/>
    </row>
    <row r="10" spans="3:20" ht="15.5" x14ac:dyDescent="0.35">
      <c r="C10" s="24" t="s">
        <v>116</v>
      </c>
      <c r="D10" s="55">
        <f>'Van+Ute'!D145</f>
        <v>72.037163507162475</v>
      </c>
      <c r="E10" s="56">
        <f>'Van+Ute'!E145</f>
        <v>71.584924474733342</v>
      </c>
      <c r="F10" s="56">
        <f>'Van+Ute'!F145</f>
        <v>71.246826967757883</v>
      </c>
      <c r="G10" s="56">
        <f>'Van+Ute'!G145</f>
        <v>70.527300522370751</v>
      </c>
      <c r="H10" s="56">
        <f>'Van+Ute'!H145</f>
        <v>79.610439330117231</v>
      </c>
      <c r="I10" s="56">
        <f>'Van+Ute'!I145</f>
        <v>81.211926647617702</v>
      </c>
      <c r="J10" s="56">
        <f ca="1">'Van+Ute'!J145</f>
        <v>95.943716274314298</v>
      </c>
      <c r="K10" s="56">
        <f ca="1">'Van+Ute'!K145</f>
        <v>577.72786470117342</v>
      </c>
      <c r="L10" s="56">
        <f ca="1">'Van+Ute'!L145</f>
        <v>1094.6462016687835</v>
      </c>
      <c r="M10" s="56">
        <f ca="1">'Van+Ute'!M145</f>
        <v>1630.8711685215847</v>
      </c>
      <c r="N10" s="56">
        <f ca="1">'Van+Ute'!N145</f>
        <v>2183.8616744216047</v>
      </c>
      <c r="O10" s="56">
        <f ca="1">'Van+Ute'!O145</f>
        <v>2752.2193179691144</v>
      </c>
      <c r="P10" s="56">
        <f ca="1">'Van+Ute'!P145</f>
        <v>3332.2178716813482</v>
      </c>
      <c r="Q10" s="57">
        <f ca="1">'Van+Ute'!Q145</f>
        <v>3923.187583473115</v>
      </c>
      <c r="R10" s="55"/>
      <c r="S10" s="56"/>
      <c r="T10" s="121"/>
    </row>
    <row r="11" spans="3:20" ht="15.5" x14ac:dyDescent="0.35">
      <c r="C11" s="24" t="s">
        <v>43</v>
      </c>
      <c r="D11" s="55">
        <f>'Heavy Truck'!D21</f>
        <v>2625.5817312218246</v>
      </c>
      <c r="E11" s="56">
        <f>'Heavy Truck'!E21</f>
        <v>2725.0931923571188</v>
      </c>
      <c r="F11" s="56">
        <f>'Heavy Truck'!F21</f>
        <v>2811.1511205060533</v>
      </c>
      <c r="G11" s="56">
        <f>'Heavy Truck'!G21</f>
        <v>2886.4625296213922</v>
      </c>
      <c r="H11" s="56">
        <f>'Heavy Truck'!H21</f>
        <v>2974.6447783585722</v>
      </c>
      <c r="I11" s="56">
        <f>'Heavy Truck'!I21</f>
        <v>3136.7030191846889</v>
      </c>
      <c r="J11" s="56">
        <f>'Heavy Truck'!J21</f>
        <v>3431.3617720902712</v>
      </c>
      <c r="K11" s="56">
        <f>'Heavy Truck'!K21</f>
        <v>3552.5052907360346</v>
      </c>
      <c r="L11" s="56">
        <f>'Heavy Truck'!L21</f>
        <v>3665.5999638904796</v>
      </c>
      <c r="M11" s="56">
        <f>'Heavy Truck'!M21</f>
        <v>3694.6059104696583</v>
      </c>
      <c r="N11" s="56">
        <f>'Heavy Truck'!N21</f>
        <v>3719.9594953767482</v>
      </c>
      <c r="O11" s="56">
        <f>'Heavy Truck'!O21</f>
        <v>3753.2814131774512</v>
      </c>
      <c r="P11" s="56">
        <f>'Heavy Truck'!P21</f>
        <v>3782.7053956249429</v>
      </c>
      <c r="Q11" s="57">
        <f>'Heavy Truck'!Q21</f>
        <v>3808.4032365964185</v>
      </c>
      <c r="R11" s="55"/>
      <c r="S11" s="56"/>
      <c r="T11" s="121"/>
    </row>
    <row r="12" spans="3:20" ht="15.5" x14ac:dyDescent="0.35">
      <c r="C12" s="24" t="s">
        <v>44</v>
      </c>
      <c r="D12" s="55">
        <f>'Heavy Bus'!D21</f>
        <v>245.25345477429616</v>
      </c>
      <c r="E12" s="56">
        <f>'Heavy Bus'!E21</f>
        <v>255.49508658811862</v>
      </c>
      <c r="F12" s="56">
        <f>'Heavy Bus'!F21</f>
        <v>263.52125939693201</v>
      </c>
      <c r="G12" s="56">
        <f>'Heavy Bus'!G21</f>
        <v>272.01059552122399</v>
      </c>
      <c r="H12" s="56">
        <f>'Heavy Bus'!H21</f>
        <v>285.50486420865337</v>
      </c>
      <c r="I12" s="56">
        <f>'Heavy Bus'!I21</f>
        <v>301.64908371233633</v>
      </c>
      <c r="J12" s="56">
        <f ca="1">'Heavy Bus'!J21</f>
        <v>364.40336373598916</v>
      </c>
      <c r="K12" s="56">
        <f ca="1">'Heavy Bus'!K21</f>
        <v>417.92199774216033</v>
      </c>
      <c r="L12" s="56">
        <f ca="1">'Heavy Bus'!L21</f>
        <v>461.3271639003629</v>
      </c>
      <c r="M12" s="56">
        <f ca="1">'Heavy Bus'!M21</f>
        <v>510.22095322900896</v>
      </c>
      <c r="N12" s="56">
        <f ca="1">'Heavy Bus'!N21</f>
        <v>565.17849476988306</v>
      </c>
      <c r="O12" s="56">
        <f ca="1">'Heavy Bus'!O21</f>
        <v>634.93971948572357</v>
      </c>
      <c r="P12" s="56">
        <f ca="1">'Heavy Bus'!P21</f>
        <v>714.55724259739964</v>
      </c>
      <c r="Q12" s="57">
        <f ca="1">'Heavy Bus'!Q21</f>
        <v>805.96142641398444</v>
      </c>
      <c r="R12" s="55"/>
      <c r="S12" s="56"/>
      <c r="T12" s="121"/>
    </row>
    <row r="13" spans="3:20" ht="16" thickBot="1" x14ac:dyDescent="0.4">
      <c r="C13" s="24" t="s">
        <v>42</v>
      </c>
      <c r="D13" s="55">
        <f>Motorcycle!D21</f>
        <v>385.37817629123339</v>
      </c>
      <c r="E13" s="56">
        <f>Motorcycle!E21</f>
        <v>394.47859881411927</v>
      </c>
      <c r="F13" s="56">
        <f>Motorcycle!F21</f>
        <v>399.980804562326</v>
      </c>
      <c r="G13" s="56">
        <f>Motorcycle!G21</f>
        <v>417.59118960297752</v>
      </c>
      <c r="H13" s="56">
        <f>Motorcycle!H21</f>
        <v>414.46709349717725</v>
      </c>
      <c r="I13" s="56">
        <f>Motorcycle!I21</f>
        <v>413.75162126558104</v>
      </c>
      <c r="J13" s="56">
        <f ca="1">Motorcycle!J21</f>
        <v>437.13860363583865</v>
      </c>
      <c r="K13" s="56">
        <f ca="1">Motorcycle!K21</f>
        <v>450.46215031536588</v>
      </c>
      <c r="L13" s="56">
        <f ca="1">Motorcycle!L21</f>
        <v>458.78377812773238</v>
      </c>
      <c r="M13" s="56">
        <f ca="1">Motorcycle!M21</f>
        <v>458.38772445299583</v>
      </c>
      <c r="N13" s="56">
        <f ca="1">Motorcycle!N21</f>
        <v>455.41674324651854</v>
      </c>
      <c r="O13" s="56">
        <f ca="1">Motorcycle!O21</f>
        <v>467.94995380517918</v>
      </c>
      <c r="P13" s="56">
        <f ca="1">Motorcycle!P21</f>
        <v>479.47968683568189</v>
      </c>
      <c r="Q13" s="57">
        <f ca="1">Motorcycle!Q21</f>
        <v>490.4214651288097</v>
      </c>
      <c r="R13" s="55"/>
      <c r="S13" s="56"/>
      <c r="T13" s="121"/>
    </row>
    <row r="14" spans="3:20" ht="16.5" thickTop="1" thickBot="1" x14ac:dyDescent="0.4">
      <c r="C14" s="31" t="s">
        <v>45</v>
      </c>
      <c r="D14" s="61">
        <f>SUM(D7:D13)</f>
        <v>40430.521593400001</v>
      </c>
      <c r="E14" s="62">
        <f t="shared" ref="E14:N14" si="0">SUM(E7:E13)</f>
        <v>41375.093957280005</v>
      </c>
      <c r="F14" s="62">
        <f t="shared" si="0"/>
        <v>42690.807602500005</v>
      </c>
      <c r="G14" s="62">
        <f t="shared" ref="G14:H14" si="1">SUM(G7:G13)</f>
        <v>44500.683306730003</v>
      </c>
      <c r="H14" s="62">
        <f t="shared" si="1"/>
        <v>46243.376265889994</v>
      </c>
      <c r="I14" s="62">
        <f t="shared" si="0"/>
        <v>48135.947529149998</v>
      </c>
      <c r="J14" s="62">
        <f t="shared" ca="1" si="0"/>
        <v>52018.923897392364</v>
      </c>
      <c r="K14" s="62">
        <f t="shared" ca="1" si="0"/>
        <v>55342.442365344992</v>
      </c>
      <c r="L14" s="62">
        <f t="shared" ca="1" si="0"/>
        <v>58535.178203272953</v>
      </c>
      <c r="M14" s="62">
        <f t="shared" ca="1" si="0"/>
        <v>61318.264955034676</v>
      </c>
      <c r="N14" s="62">
        <f t="shared" ca="1" si="0"/>
        <v>64093.255683207601</v>
      </c>
      <c r="O14" s="62">
        <f t="shared" ref="O14:Q14" ca="1" si="2">SUM(O7:O13)</f>
        <v>66973.063049767225</v>
      </c>
      <c r="P14" s="62">
        <f t="shared" ca="1" si="2"/>
        <v>69777.597323251262</v>
      </c>
      <c r="Q14" s="63">
        <f t="shared" ca="1" si="2"/>
        <v>72475.514947265823</v>
      </c>
      <c r="R14" s="55"/>
      <c r="S14" s="56"/>
      <c r="T14" s="121"/>
    </row>
    <row r="15" spans="3:20" ht="13" thickTop="1" x14ac:dyDescent="0.25"/>
    <row r="16" spans="3:20" ht="13" thickBot="1" x14ac:dyDescent="0.3"/>
    <row r="17" spans="3:17" ht="16" thickTop="1" x14ac:dyDescent="0.35">
      <c r="C17" s="32" t="s">
        <v>46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</row>
    <row r="18" spans="3:17" ht="13.5" thickBot="1" x14ac:dyDescent="0.35">
      <c r="C18" s="18"/>
      <c r="D18" s="65" t="s">
        <v>25</v>
      </c>
      <c r="E18" s="65" t="s">
        <v>37</v>
      </c>
      <c r="F18" s="65" t="s">
        <v>38</v>
      </c>
      <c r="G18" s="37" t="s">
        <v>177</v>
      </c>
      <c r="H18" s="37" t="s">
        <v>178</v>
      </c>
      <c r="I18" s="65" t="s">
        <v>26</v>
      </c>
      <c r="J18" s="65" t="s">
        <v>27</v>
      </c>
      <c r="K18" s="65" t="s">
        <v>28</v>
      </c>
      <c r="L18" s="65" t="s">
        <v>29</v>
      </c>
      <c r="M18" s="65" t="s">
        <v>30</v>
      </c>
      <c r="N18" s="65" t="s">
        <v>31</v>
      </c>
      <c r="O18" s="37" t="s">
        <v>174</v>
      </c>
      <c r="P18" s="37" t="s">
        <v>175</v>
      </c>
      <c r="Q18" s="38" t="s">
        <v>176</v>
      </c>
    </row>
    <row r="19" spans="3:17" ht="14" thickTop="1" thickBot="1" x14ac:dyDescent="0.35">
      <c r="C19" s="70"/>
      <c r="D19" s="71" t="s">
        <v>39</v>
      </c>
      <c r="E19" s="71" t="s">
        <v>39</v>
      </c>
      <c r="F19" s="71" t="s">
        <v>39</v>
      </c>
      <c r="G19" s="71" t="s">
        <v>39</v>
      </c>
      <c r="H19" s="71" t="s">
        <v>39</v>
      </c>
      <c r="I19" s="71" t="s">
        <v>39</v>
      </c>
      <c r="J19" s="71" t="s">
        <v>32</v>
      </c>
      <c r="K19" s="71" t="s">
        <v>32</v>
      </c>
      <c r="L19" s="71" t="s">
        <v>32</v>
      </c>
      <c r="M19" s="71" t="s">
        <v>32</v>
      </c>
      <c r="N19" s="71" t="s">
        <v>32</v>
      </c>
      <c r="O19" s="65" t="s">
        <v>32</v>
      </c>
      <c r="P19" s="65" t="s">
        <v>32</v>
      </c>
      <c r="Q19" s="66" t="s">
        <v>32</v>
      </c>
    </row>
    <row r="20" spans="3:17" ht="16" thickTop="1" x14ac:dyDescent="0.35">
      <c r="C20" s="24" t="s">
        <v>113</v>
      </c>
      <c r="D20" s="42">
        <f>'Car+SUV'!D42-'Car+SUV'!D165</f>
        <v>2754244</v>
      </c>
      <c r="E20" s="43">
        <f>'Car+SUV'!E42-'Car+SUV'!E165</f>
        <v>2825306.9999999995</v>
      </c>
      <c r="F20" s="43">
        <f>'Car+SUV'!F42-'Car+SUV'!F165</f>
        <v>2922022.0000000005</v>
      </c>
      <c r="G20" s="43">
        <f>'Car+SUV'!G42-'Car+SUV'!G165</f>
        <v>3028799</v>
      </c>
      <c r="H20" s="43">
        <f>'Car+SUV'!H42-'Car+SUV'!H165</f>
        <v>3144783.9999999995</v>
      </c>
      <c r="I20" s="43">
        <f>'Car+SUV'!I42-'Car+SUV'!I165</f>
        <v>3240052.9999999995</v>
      </c>
      <c r="J20" s="43">
        <f ca="1">'Car+SUV'!J42-'Car+SUV'!J165</f>
        <v>3541660.5702211689</v>
      </c>
      <c r="K20" s="43">
        <f ca="1">'Car+SUV'!K42-'Car+SUV'!K165</f>
        <v>3460923.3239706219</v>
      </c>
      <c r="L20" s="43">
        <f ca="1">'Car+SUV'!L42-'Car+SUV'!L165</f>
        <v>3323557.4685090026</v>
      </c>
      <c r="M20" s="43">
        <f ca="1">'Car+SUV'!M42-'Car+SUV'!M165</f>
        <v>3135993.8881757362</v>
      </c>
      <c r="N20" s="40">
        <f ca="1">'Car+SUV'!N42-'Car+SUV'!N165</f>
        <v>2926089.0274922713</v>
      </c>
      <c r="O20" s="40">
        <f ca="1">'Car+SUV'!O42-'Car+SUV'!O165</f>
        <v>2658040.9335142295</v>
      </c>
      <c r="P20" s="40">
        <f ca="1">'Car+SUV'!P42-'Car+SUV'!P165</f>
        <v>2369432.4321665009</v>
      </c>
      <c r="Q20" s="41">
        <f ca="1">'Car+SUV'!Q42-'Car+SUV'!Q165</f>
        <v>2061522.0725332205</v>
      </c>
    </row>
    <row r="21" spans="3:17" ht="15.5" x14ac:dyDescent="0.35">
      <c r="C21" s="24" t="s">
        <v>114</v>
      </c>
      <c r="D21" s="42">
        <f>'Van+Ute'!D42-'Van+Ute'!D165</f>
        <v>435330</v>
      </c>
      <c r="E21" s="43">
        <f>'Van+Ute'!E42-'Van+Ute'!E165</f>
        <v>458186.00000000006</v>
      </c>
      <c r="F21" s="43">
        <f>'Van+Ute'!F42-'Van+Ute'!F165</f>
        <v>486009</v>
      </c>
      <c r="G21" s="43">
        <f>'Van+Ute'!G42-'Van+Ute'!G165</f>
        <v>519100.00000000012</v>
      </c>
      <c r="H21" s="43">
        <f>'Van+Ute'!H42-'Van+Ute'!H165</f>
        <v>559842.99999999988</v>
      </c>
      <c r="I21" s="43">
        <f>'Van+Ute'!I42-'Van+Ute'!I165</f>
        <v>599533</v>
      </c>
      <c r="J21" s="43">
        <f ca="1">'Van+Ute'!J42-'Van+Ute'!J165</f>
        <v>665272.49369872815</v>
      </c>
      <c r="K21" s="43">
        <f ca="1">'Van+Ute'!K42-'Van+Ute'!K165</f>
        <v>681964.69069165445</v>
      </c>
      <c r="L21" s="43">
        <f ca="1">'Van+Ute'!L42-'Van+Ute'!L165</f>
        <v>692261.24848289101</v>
      </c>
      <c r="M21" s="43">
        <f ca="1">'Van+Ute'!M42-'Van+Ute'!M165</f>
        <v>698655.02690923749</v>
      </c>
      <c r="N21" s="43">
        <f ca="1">'Van+Ute'!N42-'Van+Ute'!N165</f>
        <v>705857.15664135735</v>
      </c>
      <c r="O21" s="43">
        <f ca="1">'Van+Ute'!O42-'Van+Ute'!O165</f>
        <v>708680.00699970941</v>
      </c>
      <c r="P21" s="43">
        <f ca="1">'Van+Ute'!P42-'Van+Ute'!P165</f>
        <v>709661.55506075674</v>
      </c>
      <c r="Q21" s="44">
        <f ca="1">'Van+Ute'!Q42-'Van+Ute'!Q165</f>
        <v>707556.6098632291</v>
      </c>
    </row>
    <row r="22" spans="3:17" ht="15.5" x14ac:dyDescent="0.35">
      <c r="C22" s="24" t="s">
        <v>115</v>
      </c>
      <c r="D22" s="42">
        <f>'Car+SUV'!D165</f>
        <v>7813</v>
      </c>
      <c r="E22" s="43">
        <f>'Car+SUV'!E165</f>
        <v>7938.0000000000009</v>
      </c>
      <c r="F22" s="43">
        <f>'Car+SUV'!F165</f>
        <v>8490</v>
      </c>
      <c r="G22" s="43">
        <f>'Car+SUV'!G165</f>
        <v>9863</v>
      </c>
      <c r="H22" s="43">
        <f>'Car+SUV'!H165</f>
        <v>10350</v>
      </c>
      <c r="I22" s="43">
        <f>'Car+SUV'!I165</f>
        <v>16177.000000000002</v>
      </c>
      <c r="J22" s="43">
        <f ca="1">'Car+SUV'!J165</f>
        <v>19222.029457053046</v>
      </c>
      <c r="K22" s="43">
        <f ca="1">'Car+SUV'!K165</f>
        <v>137993.58203355185</v>
      </c>
      <c r="L22" s="43">
        <f ca="1">'Car+SUV'!L165</f>
        <v>266416.51580295863</v>
      </c>
      <c r="M22" s="43">
        <f ca="1">'Car+SUV'!M165</f>
        <v>400608.59323674731</v>
      </c>
      <c r="N22" s="43">
        <f ca="1">'Car+SUV'!N165</f>
        <v>539920.56522309675</v>
      </c>
      <c r="O22" s="43">
        <f ca="1">'Car+SUV'!O165</f>
        <v>684197.81321829662</v>
      </c>
      <c r="P22" s="43">
        <f ca="1">'Car+SUV'!P165</f>
        <v>832361.26965150493</v>
      </c>
      <c r="Q22" s="44">
        <f ca="1">'Car+SUV'!Q165</f>
        <v>984207.94065092073</v>
      </c>
    </row>
    <row r="23" spans="3:17" ht="15.5" x14ac:dyDescent="0.35">
      <c r="C23" s="24" t="s">
        <v>116</v>
      </c>
      <c r="D23" s="42">
        <f>'Van+Ute'!D165</f>
        <v>2433</v>
      </c>
      <c r="E23" s="43">
        <f>'Van+Ute'!E165</f>
        <v>2426</v>
      </c>
      <c r="F23" s="43">
        <f>'Van+Ute'!F165</f>
        <v>2514</v>
      </c>
      <c r="G23" s="43">
        <f>'Van+Ute'!G165</f>
        <v>2607</v>
      </c>
      <c r="H23" s="43">
        <f>'Van+Ute'!H165</f>
        <v>2927</v>
      </c>
      <c r="I23" s="43">
        <f>'Van+Ute'!I165</f>
        <v>3118</v>
      </c>
      <c r="J23" s="43">
        <f ca="1">'Van+Ute'!J165</f>
        <v>3684.1526173841207</v>
      </c>
      <c r="K23" s="43">
        <f ca="1">'Van+Ute'!K165</f>
        <v>22059.88050164485</v>
      </c>
      <c r="L23" s="43">
        <f ca="1">'Van+Ute'!L165</f>
        <v>41773.831110664636</v>
      </c>
      <c r="M23" s="43">
        <f ca="1">'Van+Ute'!M165</f>
        <v>62222.394123656355</v>
      </c>
      <c r="N23" s="43">
        <f ca="1">'Van+Ute'!N165</f>
        <v>83309.433165682029</v>
      </c>
      <c r="O23" s="43">
        <f ca="1">'Van+Ute'!O165</f>
        <v>104982.51710320626</v>
      </c>
      <c r="P23" s="43">
        <f ca="1">'Van+Ute'!P165</f>
        <v>127100.59230208119</v>
      </c>
      <c r="Q23" s="44">
        <f ca="1">'Van+Ute'!Q165</f>
        <v>149639.1207767842</v>
      </c>
    </row>
    <row r="24" spans="3:17" ht="15.5" x14ac:dyDescent="0.35">
      <c r="C24" s="24" t="s">
        <v>43</v>
      </c>
      <c r="D24" s="42">
        <f>'Heavy Truck'!D28</f>
        <v>143848</v>
      </c>
      <c r="E24" s="43">
        <f>'Heavy Truck'!E28</f>
        <v>150083</v>
      </c>
      <c r="F24" s="43">
        <f>'Heavy Truck'!F28</f>
        <v>157513</v>
      </c>
      <c r="G24" s="43">
        <f>'Heavy Truck'!G28</f>
        <v>164004</v>
      </c>
      <c r="H24" s="43">
        <f>'Heavy Truck'!H28</f>
        <v>170042</v>
      </c>
      <c r="I24" s="43">
        <f>'Heavy Truck'!I28</f>
        <v>177675</v>
      </c>
      <c r="J24" s="43">
        <f>'Heavy Truck'!J28</f>
        <v>194175.82432404711</v>
      </c>
      <c r="K24" s="43">
        <f>'Heavy Truck'!K28</f>
        <v>200406.79214120549</v>
      </c>
      <c r="L24" s="43">
        <f>'Heavy Truck'!L28</f>
        <v>206213.0429854604</v>
      </c>
      <c r="M24" s="43">
        <f>'Heavy Truck'!M28</f>
        <v>206645.83715083936</v>
      </c>
      <c r="N24" s="43">
        <f>'Heavy Truck'!N28</f>
        <v>206932.22280215978</v>
      </c>
      <c r="O24" s="43">
        <f>'Heavy Truck'!O28</f>
        <v>208158.64420048069</v>
      </c>
      <c r="P24" s="43">
        <f>'Heavy Truck'!P28</f>
        <v>209199.127810768</v>
      </c>
      <c r="Q24" s="44">
        <f>'Heavy Truck'!Q28</f>
        <v>210062.08872781586</v>
      </c>
    </row>
    <row r="25" spans="3:17" ht="15.5" x14ac:dyDescent="0.35">
      <c r="C25" s="24" t="s">
        <v>44</v>
      </c>
      <c r="D25" s="42">
        <f>'Heavy Bus'!D28</f>
        <v>8974</v>
      </c>
      <c r="E25" s="43">
        <f>'Heavy Bus'!E28</f>
        <v>9253</v>
      </c>
      <c r="F25" s="43">
        <f>'Heavy Bus'!F28</f>
        <v>9440</v>
      </c>
      <c r="G25" s="43">
        <f>'Heavy Bus'!G28</f>
        <v>9791</v>
      </c>
      <c r="H25" s="43">
        <f>'Heavy Bus'!H28</f>
        <v>10339</v>
      </c>
      <c r="I25" s="43">
        <f>'Heavy Bus'!I28</f>
        <v>10953</v>
      </c>
      <c r="J25" s="43">
        <f ca="1">'Heavy Bus'!J28</f>
        <v>13258.047053892367</v>
      </c>
      <c r="K25" s="43">
        <f ca="1">'Heavy Bus'!K28</f>
        <v>15215.203919635012</v>
      </c>
      <c r="L25" s="43">
        <f ca="1">'Heavy Bus'!L28</f>
        <v>16761.922072046862</v>
      </c>
      <c r="M25" s="43">
        <f ca="1">'Heavy Bus'!M28</f>
        <v>18494.218733369715</v>
      </c>
      <c r="N25" s="43">
        <f ca="1">'Heavy Bus'!N28</f>
        <v>20432.080973167649</v>
      </c>
      <c r="O25" s="43">
        <f ca="1">'Heavy Bus'!O28</f>
        <v>22909.814722984549</v>
      </c>
      <c r="P25" s="43">
        <f ca="1">'Heavy Bus'!P28</f>
        <v>25731.116415883473</v>
      </c>
      <c r="Q25" s="44">
        <f ca="1">'Heavy Bus'!Q28</f>
        <v>28965.111251481965</v>
      </c>
    </row>
    <row r="26" spans="3:17" ht="16" thickBot="1" x14ac:dyDescent="0.4">
      <c r="C26" s="24" t="s">
        <v>42</v>
      </c>
      <c r="D26" s="42">
        <f>Motorcycle!D42</f>
        <v>143948.00000000003</v>
      </c>
      <c r="E26" s="43">
        <f>Motorcycle!E42</f>
        <v>148565</v>
      </c>
      <c r="F26" s="43">
        <f>Motorcycle!F42</f>
        <v>154673.00000000003</v>
      </c>
      <c r="G26" s="43">
        <f>Motorcycle!G42</f>
        <v>160194</v>
      </c>
      <c r="H26" s="43">
        <f>Motorcycle!H42</f>
        <v>166050</v>
      </c>
      <c r="I26" s="43">
        <f>Motorcycle!I42</f>
        <v>172326</v>
      </c>
      <c r="J26" s="43">
        <f ca="1">Motorcycle!J42</f>
        <v>182236.43982781417</v>
      </c>
      <c r="K26" s="43">
        <f ca="1">Motorcycle!K42</f>
        <v>187923.00817539691</v>
      </c>
      <c r="L26" s="43">
        <f ca="1">Motorcycle!L42</f>
        <v>191531.01559157323</v>
      </c>
      <c r="M26" s="43">
        <f ca="1">Motorcycle!M42</f>
        <v>191502.10051140265</v>
      </c>
      <c r="N26" s="43">
        <f ca="1">Motorcycle!N42</f>
        <v>190395.53957127186</v>
      </c>
      <c r="O26" s="43">
        <f ca="1">Motorcycle!O42</f>
        <v>195772.8344696977</v>
      </c>
      <c r="P26" s="43">
        <f ca="1">Motorcycle!P42</f>
        <v>200736.59300066423</v>
      </c>
      <c r="Q26" s="44">
        <f ca="1">Motorcycle!Q42</f>
        <v>205459.97581089893</v>
      </c>
    </row>
    <row r="27" spans="3:17" ht="16.5" thickTop="1" thickBot="1" x14ac:dyDescent="0.4">
      <c r="C27" s="31" t="s">
        <v>45</v>
      </c>
      <c r="D27" s="48">
        <f t="shared" ref="D27:N27" si="3">SUM(D20:D26)</f>
        <v>3496590</v>
      </c>
      <c r="E27" s="48">
        <f t="shared" si="3"/>
        <v>3601757.9999999995</v>
      </c>
      <c r="F27" s="48">
        <f t="shared" si="3"/>
        <v>3740661.0000000005</v>
      </c>
      <c r="G27" s="48">
        <f t="shared" ref="G27:H27" si="4">SUM(G20:G26)</f>
        <v>3894358</v>
      </c>
      <c r="H27" s="48">
        <f t="shared" si="4"/>
        <v>4064334.9999999995</v>
      </c>
      <c r="I27" s="48">
        <f t="shared" si="3"/>
        <v>4219835</v>
      </c>
      <c r="J27" s="48">
        <f t="shared" ca="1" si="3"/>
        <v>4619509.5572000872</v>
      </c>
      <c r="K27" s="48">
        <f t="shared" ca="1" si="3"/>
        <v>4706486.481433711</v>
      </c>
      <c r="L27" s="48">
        <f t="shared" ca="1" si="3"/>
        <v>4738515.0445545968</v>
      </c>
      <c r="M27" s="48">
        <f t="shared" ca="1" si="3"/>
        <v>4714122.0588409891</v>
      </c>
      <c r="N27" s="48">
        <f t="shared" ca="1" si="3"/>
        <v>4672936.0258690072</v>
      </c>
      <c r="O27" s="48">
        <f t="shared" ref="O27:Q27" ca="1" si="5">SUM(O20:O26)</f>
        <v>4582742.5642286036</v>
      </c>
      <c r="P27" s="48">
        <f t="shared" ca="1" si="5"/>
        <v>4474222.6864081593</v>
      </c>
      <c r="Q27" s="49">
        <f t="shared" ca="1" si="5"/>
        <v>4347412.9196143514</v>
      </c>
    </row>
    <row r="28" spans="3:17" ht="13" thickTop="1" x14ac:dyDescent="0.25"/>
    <row r="30" spans="3:17" x14ac:dyDescent="0.25">
      <c r="D30" s="132"/>
      <c r="E30" s="132"/>
      <c r="F30" s="132"/>
      <c r="G30" s="132"/>
      <c r="H30" s="132"/>
      <c r="I30" s="132"/>
      <c r="J30" s="132"/>
      <c r="K30" s="132"/>
      <c r="L30" s="132"/>
    </row>
    <row r="31" spans="3:17" x14ac:dyDescent="0.25">
      <c r="D31" s="132"/>
      <c r="E31" s="132"/>
      <c r="F31" s="132"/>
      <c r="G31" s="132"/>
      <c r="H31" s="132"/>
      <c r="I31" s="132"/>
      <c r="J31" s="132"/>
      <c r="K31" s="132"/>
      <c r="L31" s="132"/>
    </row>
    <row r="32" spans="3:17" x14ac:dyDescent="0.25">
      <c r="D32" s="132"/>
      <c r="E32" s="132"/>
      <c r="F32" s="132"/>
      <c r="G32" s="132"/>
      <c r="H32" s="132"/>
      <c r="I32" s="132"/>
      <c r="J32" s="132"/>
      <c r="K32" s="132"/>
      <c r="L32" s="132"/>
    </row>
    <row r="33" spans="4:12" x14ac:dyDescent="0.25">
      <c r="D33" s="132"/>
      <c r="E33" s="132"/>
      <c r="F33" s="132"/>
      <c r="G33" s="132"/>
      <c r="H33" s="132"/>
      <c r="I33" s="132"/>
      <c r="J33" s="132"/>
      <c r="K33" s="132"/>
      <c r="L33" s="132"/>
    </row>
    <row r="34" spans="4:12" x14ac:dyDescent="0.25">
      <c r="D34" s="132"/>
      <c r="E34" s="132"/>
      <c r="F34" s="132"/>
      <c r="G34" s="132"/>
      <c r="H34" s="132"/>
      <c r="I34" s="132"/>
      <c r="J34" s="132"/>
      <c r="K34" s="132"/>
      <c r="L34" s="132"/>
    </row>
    <row r="35" spans="4:12" x14ac:dyDescent="0.25">
      <c r="D35" s="132"/>
      <c r="E35" s="132"/>
      <c r="F35" s="132"/>
      <c r="G35" s="132"/>
      <c r="H35" s="132"/>
      <c r="I35" s="132"/>
      <c r="J35" s="132"/>
      <c r="K35" s="132"/>
      <c r="L35" s="132"/>
    </row>
    <row r="36" spans="4:12" x14ac:dyDescent="0.25">
      <c r="D36" s="132"/>
      <c r="E36" s="132"/>
      <c r="F36" s="132"/>
      <c r="G36" s="132"/>
      <c r="H36" s="132"/>
      <c r="I36" s="132"/>
      <c r="J36" s="132"/>
      <c r="K36" s="132"/>
      <c r="L36" s="132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4:I24"/>
  <sheetViews>
    <sheetView workbookViewId="0">
      <selection activeCell="E12" sqref="E12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('[5]16_17 fleet_v2'!$D259+'[5]16_17 fleet_v2'!$D274+'[5]16_17 fleet_v2'!$D289+'[5]16_17 fleet_v2'!$D304)/1000000</f>
        <v>1191.56463721</v>
      </c>
      <c r="D6" s="11">
        <f>('[5]16_17 fleet_v2'!$D379+'[5]16_17 fleet_v2'!$D394+'[5]16_17 fleet_v2'!$D409+'[5]16_17 fleet_v2'!$D424)/1000000</f>
        <v>368.42819378999997</v>
      </c>
      <c r="E6" s="11">
        <f>('[5]16_17 fleet_v2'!$D$349+'[5]16_17 fleet_v2'!$D$364)/1000000</f>
        <v>132.02446418</v>
      </c>
      <c r="F6" s="11">
        <f>('[5]16_17 fleet_v2'!$D229+'[5]16_17 fleet_v2'!$D244)/1000000</f>
        <v>9.90454553</v>
      </c>
      <c r="G6" s="11">
        <f>('[5]16_17 fleet_v2'!$D319+'[5]16_17 fleet_v2'!$D334)/1000000</f>
        <v>12.222152810000001</v>
      </c>
      <c r="H6" s="28">
        <f>[7]Northland!$M$8/1000000</f>
        <v>1836.9850630000001</v>
      </c>
      <c r="I6" s="13">
        <f>SUM(C6:G6)</f>
        <v>1714.1439935199999</v>
      </c>
    </row>
    <row r="7" spans="2:9" ht="15.5" x14ac:dyDescent="0.35">
      <c r="B7" s="27" t="s">
        <v>1</v>
      </c>
      <c r="C7" s="13">
        <f>('[5]16_17 fleet_v2'!$D260+'[5]16_17 fleet_v2'!$D275+'[5]16_17 fleet_v2'!$D290+'[5]16_17 fleet_v2'!$D305)/1000000</f>
        <v>11863.218491670001</v>
      </c>
      <c r="D7" s="13">
        <f>('[5]16_17 fleet_v2'!$D380+'[5]16_17 fleet_v2'!$D395+'[5]16_17 fleet_v2'!$D410+'[5]16_17 fleet_v2'!$D425)/1000000</f>
        <v>2028.5993609999998</v>
      </c>
      <c r="E7" s="13">
        <f>('[5]16_17 fleet_v2'!$D$350+'[5]16_17 fleet_v2'!$D$365)/1000000</f>
        <v>720.84013551999999</v>
      </c>
      <c r="F7" s="13">
        <f>('[5]16_17 fleet_v2'!$D230+'[5]16_17 fleet_v2'!$D245)/1000000</f>
        <v>107.48181304000001</v>
      </c>
      <c r="G7" s="13">
        <f>('[5]16_17 fleet_v2'!$D320+'[5]16_17 fleet_v2'!$D335)/1000000</f>
        <v>109.48087558000002</v>
      </c>
      <c r="H7" s="29">
        <f>[7]Auckland!$M$8/1000000</f>
        <v>13321.985129000001</v>
      </c>
      <c r="I7" s="13">
        <f t="shared" ref="I7:I20" si="0">SUM(C7:G7)</f>
        <v>14829.620676810002</v>
      </c>
    </row>
    <row r="8" spans="2:9" ht="15.5" x14ac:dyDescent="0.35">
      <c r="B8" s="27" t="s">
        <v>2</v>
      </c>
      <c r="C8" s="13">
        <f>('[5]16_17 fleet_v2'!$D261+'[5]16_17 fleet_v2'!$D276+'[5]16_17 fleet_v2'!$D291+'[5]16_17 fleet_v2'!$D306)/1000000</f>
        <v>3477.01474702</v>
      </c>
      <c r="D8" s="13">
        <f>('[5]16_17 fleet_v2'!$D381+'[5]16_17 fleet_v2'!$D396+'[5]16_17 fleet_v2'!$D411+'[5]16_17 fleet_v2'!$D426)/1000000</f>
        <v>935.09439070000008</v>
      </c>
      <c r="E8" s="13">
        <f>('[5]16_17 fleet_v2'!$D$351+'[5]16_17 fleet_v2'!$D$366)/1000000</f>
        <v>350.03215545</v>
      </c>
      <c r="F8" s="13">
        <f>('[5]16_17 fleet_v2'!$D231+'[5]16_17 fleet_v2'!$D246)/1000000</f>
        <v>17.924282309999999</v>
      </c>
      <c r="G8" s="13">
        <f>('[5]16_17 fleet_v2'!$D321+'[5]16_17 fleet_v2'!$D336)/1000000</f>
        <v>39.189120580000001</v>
      </c>
      <c r="H8" s="29">
        <f>[7]Waikato!$M$8/1000000</f>
        <v>5844.751037</v>
      </c>
      <c r="I8" s="13">
        <f t="shared" si="0"/>
        <v>4819.2546960600002</v>
      </c>
    </row>
    <row r="9" spans="2:9" ht="15.5" x14ac:dyDescent="0.35">
      <c r="B9" s="27" t="s">
        <v>3</v>
      </c>
      <c r="C9" s="13">
        <f>('[5]16_17 fleet_v2'!$D262+'[5]16_17 fleet_v2'!$D277+'[5]16_17 fleet_v2'!$D292+'[5]16_17 fleet_v2'!$D307)/1000000</f>
        <v>2507.0639403</v>
      </c>
      <c r="D9" s="13">
        <f>('[5]16_17 fleet_v2'!$D382+'[5]16_17 fleet_v2'!$D397+'[5]16_17 fleet_v2'!$D412+'[5]16_17 fleet_v2'!$D427)/1000000</f>
        <v>728.55935421000004</v>
      </c>
      <c r="E9" s="13">
        <f>('[5]16_17 fleet_v2'!$D$352+'[5]16_17 fleet_v2'!$D$367)/1000000</f>
        <v>286.64119432999996</v>
      </c>
      <c r="F9" s="13">
        <f>('[5]16_17 fleet_v2'!$D232+'[5]16_17 fleet_v2'!$D247)/1000000</f>
        <v>16.747542929999998</v>
      </c>
      <c r="G9" s="13">
        <f>('[5]16_17 fleet_v2'!$D322+'[5]16_17 fleet_v2'!$D337)/1000000</f>
        <v>31.71709229</v>
      </c>
      <c r="H9" s="29">
        <f>'[7]Bay of Plenty'!$M$8/1000000</f>
        <v>3168.37318</v>
      </c>
      <c r="I9" s="13">
        <f t="shared" si="0"/>
        <v>3570.7291240599998</v>
      </c>
    </row>
    <row r="10" spans="2:9" ht="15.5" x14ac:dyDescent="0.35">
      <c r="B10" s="27" t="s">
        <v>4</v>
      </c>
      <c r="C10" s="13">
        <f>('[5]16_17 fleet_v2'!$D263+'[5]16_17 fleet_v2'!$D278+'[5]16_17 fleet_v2'!$D293+'[5]16_17 fleet_v2'!$D308)/1000000</f>
        <v>238.24200841999999</v>
      </c>
      <c r="D10" s="13">
        <f>('[5]16_17 fleet_v2'!$D383+'[5]16_17 fleet_v2'!$D398+'[5]16_17 fleet_v2'!$D413+'[5]16_17 fleet_v2'!$D428)/1000000</f>
        <v>111.08737947</v>
      </c>
      <c r="E10" s="13">
        <f>('[5]16_17 fleet_v2'!$D$353+'[5]16_17 fleet_v2'!$D$368)/1000000</f>
        <v>36.082047209999999</v>
      </c>
      <c r="F10" s="13">
        <f>('[5]16_17 fleet_v2'!$D233+'[5]16_17 fleet_v2'!$D248)/1000000</f>
        <v>1.6979958400000001</v>
      </c>
      <c r="G10" s="13">
        <f>('[5]16_17 fleet_v2'!$D323+'[5]16_17 fleet_v2'!$D338)/1000000</f>
        <v>2.9200498800000005</v>
      </c>
      <c r="H10" s="29">
        <f>[7]Gisborne!$M$8/1000000</f>
        <v>400.11022000000003</v>
      </c>
      <c r="I10" s="13">
        <f t="shared" si="0"/>
        <v>390.02948082</v>
      </c>
    </row>
    <row r="11" spans="2:9" ht="15.5" x14ac:dyDescent="0.35">
      <c r="B11" s="27" t="s">
        <v>5</v>
      </c>
      <c r="C11" s="13">
        <f>('[5]16_17 fleet_v2'!$D264+'[5]16_17 fleet_v2'!$D279+'[5]16_17 fleet_v2'!$D294+'[5]16_17 fleet_v2'!$D309)/1000000</f>
        <v>1103.0114848600001</v>
      </c>
      <c r="D11" s="13">
        <f>('[5]16_17 fleet_v2'!$D384+'[5]16_17 fleet_v2'!$D399+'[5]16_17 fleet_v2'!$D414+'[5]16_17 fleet_v2'!$D429)/1000000</f>
        <v>320.64613795000002</v>
      </c>
      <c r="E11" s="13">
        <f>('[5]16_17 fleet_v2'!$D$354+'[5]16_17 fleet_v2'!$D$369)/1000000</f>
        <v>112.94270937</v>
      </c>
      <c r="F11" s="13">
        <f>('[5]16_17 fleet_v2'!$D234+'[5]16_17 fleet_v2'!$D249)/1000000</f>
        <v>4.9900272499999998</v>
      </c>
      <c r="G11" s="13">
        <f>('[5]16_17 fleet_v2'!$D324+'[5]16_17 fleet_v2'!$D339)/1000000</f>
        <v>12.533481829999999</v>
      </c>
      <c r="H11" s="29">
        <f>'[7]Hawke''s Bay'!$M$8/1000000</f>
        <v>1594.537153</v>
      </c>
      <c r="I11" s="13">
        <f t="shared" si="0"/>
        <v>1554.1238412600003</v>
      </c>
    </row>
    <row r="12" spans="2:9" ht="15.5" x14ac:dyDescent="0.35">
      <c r="B12" s="27" t="s">
        <v>6</v>
      </c>
      <c r="C12" s="13">
        <f>('[5]16_17 fleet_v2'!$D265+'[5]16_17 fleet_v2'!$D280+'[5]16_17 fleet_v2'!$D295+'[5]16_17 fleet_v2'!$D310)/1000000</f>
        <v>792.67082671000003</v>
      </c>
      <c r="D12" s="13">
        <f>('[5]16_17 fleet_v2'!$D385+'[5]16_17 fleet_v2'!$D400+'[5]16_17 fleet_v2'!$D415+'[5]16_17 fleet_v2'!$D430)/1000000</f>
        <v>214.96651269999998</v>
      </c>
      <c r="E12" s="13">
        <f>('[5]16_17 fleet_v2'!$D$355+'[5]16_17 fleet_v2'!$D$370)/1000000</f>
        <v>93.275840439999996</v>
      </c>
      <c r="F12" s="13">
        <f>('[5]16_17 fleet_v2'!$D235+'[5]16_17 fleet_v2'!$D250)/1000000</f>
        <v>3.3678661700000001</v>
      </c>
      <c r="G12" s="13">
        <f>('[5]16_17 fleet_v2'!$D325+'[5]16_17 fleet_v2'!$D340)/1000000</f>
        <v>12.17156276</v>
      </c>
      <c r="H12" s="29">
        <f>[7]Taranaki!$M$8/1000000</f>
        <v>1121.322799</v>
      </c>
      <c r="I12" s="13">
        <f t="shared" si="0"/>
        <v>1116.45260878</v>
      </c>
    </row>
    <row r="13" spans="2:9" ht="15.5" x14ac:dyDescent="0.35">
      <c r="B13" s="27" t="s">
        <v>7</v>
      </c>
      <c r="C13" s="13">
        <f>('[5]16_17 fleet_v2'!$D266+'[5]16_17 fleet_v2'!$D281+'[5]16_17 fleet_v2'!$D296+'[5]16_17 fleet_v2'!$D311)/1000000</f>
        <v>1623.94138438</v>
      </c>
      <c r="D13" s="13">
        <f>('[5]16_17 fleet_v2'!$D386+'[5]16_17 fleet_v2'!$D401+'[5]16_17 fleet_v2'!$D416+'[5]16_17 fleet_v2'!$D431)/1000000</f>
        <v>472.80598526</v>
      </c>
      <c r="E13" s="13">
        <f>('[5]16_17 fleet_v2'!$D$356+'[5]16_17 fleet_v2'!$D$371)/1000000</f>
        <v>186.13968073000001</v>
      </c>
      <c r="F13" s="13">
        <f>('[5]16_17 fleet_v2'!$D236+'[5]16_17 fleet_v2'!$D251)/1000000</f>
        <v>8.3119656600000003</v>
      </c>
      <c r="G13" s="13">
        <f>('[5]16_17 fleet_v2'!$D326+'[5]16_17 fleet_v2'!$D341)/1000000</f>
        <v>23.512269939999996</v>
      </c>
      <c r="H13" s="29">
        <f>[7]Manawatu!$M$8/1000000</f>
        <v>2555.506218</v>
      </c>
      <c r="I13" s="13">
        <f t="shared" si="0"/>
        <v>2314.7112859700001</v>
      </c>
    </row>
    <row r="14" spans="2:9" ht="15.5" x14ac:dyDescent="0.35">
      <c r="B14" s="27" t="s">
        <v>8</v>
      </c>
      <c r="C14" s="13">
        <f>('[5]16_17 fleet_v2'!$D267+'[5]16_17 fleet_v2'!$D282+'[5]16_17 fleet_v2'!$D297+'[5]16_17 fleet_v2'!$D312)/1000000</f>
        <v>3191.1967650900001</v>
      </c>
      <c r="D14" s="13">
        <f>('[5]16_17 fleet_v2'!$D387+'[5]16_17 fleet_v2'!$D402+'[5]16_17 fleet_v2'!$D417+'[5]16_17 fleet_v2'!$D432)/1000000</f>
        <v>573.75025787000004</v>
      </c>
      <c r="E14" s="13">
        <f>('[5]16_17 fleet_v2'!$D$357+'[5]16_17 fleet_v2'!$D$372)/1000000</f>
        <v>160.38721551999998</v>
      </c>
      <c r="F14" s="13">
        <f>('[5]16_17 fleet_v2'!$D237+'[5]16_17 fleet_v2'!$D252)/1000000</f>
        <v>21.283790750000001</v>
      </c>
      <c r="G14" s="13">
        <f>('[5]16_17 fleet_v2'!$D327+'[5]16_17 fleet_v2'!$D342)/1000000</f>
        <v>46.856417799999996</v>
      </c>
      <c r="H14" s="29">
        <f>[7]Wellington!$M$8/1000000</f>
        <v>3560.6677159999999</v>
      </c>
      <c r="I14" s="13">
        <f t="shared" si="0"/>
        <v>3993.4744470300006</v>
      </c>
    </row>
    <row r="15" spans="2:9" ht="15.5" x14ac:dyDescent="0.35">
      <c r="B15" s="27" t="s">
        <v>9</v>
      </c>
      <c r="C15" s="13">
        <f>('[5]16_17 fleet_v2'!$D268+'[5]16_17 fleet_v2'!$D283+'[5]16_17 fleet_v2'!$D298+'[5]16_17 fleet_v2'!$D313)/1000000</f>
        <v>1102.6958416800001</v>
      </c>
      <c r="D15" s="13">
        <f>('[5]16_17 fleet_v2'!$D388+'[5]16_17 fleet_v2'!$D403+'[5]16_17 fleet_v2'!$D418+'[5]16_17 fleet_v2'!$D433)/1000000</f>
        <v>338.53830254000002</v>
      </c>
      <c r="E15" s="13">
        <f>('[5]16_17 fleet_v2'!$D$358+'[5]16_17 fleet_v2'!$D$373)/1000000</f>
        <v>113.51184173999999</v>
      </c>
      <c r="F15" s="13">
        <f>('[5]16_17 fleet_v2'!$D238+'[5]16_17 fleet_v2'!$D253)/1000000</f>
        <v>6.9002962999999999</v>
      </c>
      <c r="G15" s="13">
        <f>('[5]16_17 fleet_v2'!$D328+'[5]16_17 fleet_v2'!$D343)/1000000</f>
        <v>19.783930609999999</v>
      </c>
      <c r="H15" s="29">
        <f>[7]TMN!$M$8/1000000</f>
        <v>1468.697132</v>
      </c>
      <c r="I15" s="13">
        <f t="shared" si="0"/>
        <v>1581.4302128699999</v>
      </c>
    </row>
    <row r="16" spans="2:9" ht="15.5" x14ac:dyDescent="0.35">
      <c r="B16" s="27" t="s">
        <v>10</v>
      </c>
      <c r="C16" s="13">
        <f>('[5]16_17 fleet_v2'!$D269+'[5]16_17 fleet_v2'!$D284+'[5]16_17 fleet_v2'!$D299+'[5]16_17 fleet_v2'!$D314)/1000000</f>
        <v>210.58156269</v>
      </c>
      <c r="D16" s="13">
        <f>('[5]16_17 fleet_v2'!$D389+'[5]16_17 fleet_v2'!$D404+'[5]16_17 fleet_v2'!$D419+'[5]16_17 fleet_v2'!$D434)/1000000</f>
        <v>81.549709800000016</v>
      </c>
      <c r="E16" s="13">
        <f>('[5]16_17 fleet_v2'!$D$359+'[5]16_17 fleet_v2'!$D$374)/1000000</f>
        <v>31.939469840000001</v>
      </c>
      <c r="F16" s="13">
        <f>('[5]16_17 fleet_v2'!$D239+'[5]16_17 fleet_v2'!$D254)/1000000</f>
        <v>1.64774446</v>
      </c>
      <c r="G16" s="13">
        <f>('[5]16_17 fleet_v2'!$D329+'[5]16_17 fleet_v2'!$D344)/1000000</f>
        <v>3.9718415</v>
      </c>
      <c r="H16" s="29">
        <f>'[7]West Coast'!$M$8/1000000</f>
        <v>558.740498</v>
      </c>
      <c r="I16" s="13">
        <f t="shared" si="0"/>
        <v>329.69032829000002</v>
      </c>
    </row>
    <row r="17" spans="2:9" ht="15.5" x14ac:dyDescent="0.35">
      <c r="B17" s="27" t="s">
        <v>11</v>
      </c>
      <c r="C17" s="13">
        <f>('[5]16_17 fleet_v2'!$D270+'[5]16_17 fleet_v2'!$D285+'[5]16_17 fleet_v2'!$D300+'[5]16_17 fleet_v2'!$D315)/1000000</f>
        <v>4874.6953279700001</v>
      </c>
      <c r="D17" s="13">
        <f>('[5]16_17 fleet_v2'!$D390+'[5]16_17 fleet_v2'!$D405+'[5]16_17 fleet_v2'!$D420+'[5]16_17 fleet_v2'!$D435)/1000000</f>
        <v>1250.49252925</v>
      </c>
      <c r="E17" s="13">
        <f>('[5]16_17 fleet_v2'!$D$360+'[5]16_17 fleet_v2'!$D$375)/1000000</f>
        <v>469.32524835999999</v>
      </c>
      <c r="F17" s="13">
        <f>('[5]16_17 fleet_v2'!$D240+'[5]16_17 fleet_v2'!$D255)/1000000</f>
        <v>55.829142120000007</v>
      </c>
      <c r="G17" s="13">
        <f>('[5]16_17 fleet_v2'!$D330+'[5]16_17 fleet_v2'!$D345)/1000000</f>
        <v>59.590634030000004</v>
      </c>
      <c r="H17" s="29">
        <f>[7]Canterbury!$M$8/1000000</f>
        <v>6135.4707529999996</v>
      </c>
      <c r="I17" s="13">
        <f t="shared" si="0"/>
        <v>6709.9328817300002</v>
      </c>
    </row>
    <row r="18" spans="2:9" ht="15.5" x14ac:dyDescent="0.35">
      <c r="B18" s="27" t="s">
        <v>12</v>
      </c>
      <c r="C18" s="13">
        <f>('[5]16_17 fleet_v2'!$D271+'[5]16_17 fleet_v2'!$D286+'[5]16_17 fleet_v2'!$D301+'[5]16_17 fleet_v2'!$D316)/1000000</f>
        <v>1537.9126281199999</v>
      </c>
      <c r="D18" s="13">
        <f>('[5]16_17 fleet_v2'!$D391+'[5]16_17 fleet_v2'!$D406+'[5]16_17 fleet_v2'!$D421+'[5]16_17 fleet_v2'!$D436)/1000000</f>
        <v>415.65977637000003</v>
      </c>
      <c r="E18" s="13">
        <f>('[5]16_17 fleet_v2'!$D$361+'[5]16_17 fleet_v2'!$D$376)/1000000</f>
        <v>127.8752863</v>
      </c>
      <c r="F18" s="13">
        <f>('[5]16_17 fleet_v2'!$D241+'[5]16_17 fleet_v2'!$D256)/1000000</f>
        <v>17.327112320000001</v>
      </c>
      <c r="G18" s="13">
        <f>('[5]16_17 fleet_v2'!$D331+'[5]16_17 fleet_v2'!$D346)/1000000</f>
        <v>16.255796740000001</v>
      </c>
      <c r="H18" s="29">
        <f>[7]Otago!$M$8/1000000</f>
        <v>2434.7853129999999</v>
      </c>
      <c r="I18" s="13">
        <f t="shared" si="0"/>
        <v>2115.0305998499998</v>
      </c>
    </row>
    <row r="19" spans="2:9" ht="16" thickBot="1" x14ac:dyDescent="0.4">
      <c r="B19" s="27" t="s">
        <v>13</v>
      </c>
      <c r="C19" s="15">
        <f>('[5]16_17 fleet_v2'!$D272+'[5]16_17 fleet_v2'!$D287+'[5]16_17 fleet_v2'!$D302+'[5]16_17 fleet_v2'!$D317)/1000000</f>
        <v>736.27462289999994</v>
      </c>
      <c r="D19" s="15">
        <f>('[5]16_17 fleet_v2'!$D392+'[5]16_17 fleet_v2'!$D407+'[5]16_17 fleet_v2'!$D422+'[5]16_17 fleet_v2'!$D437)/1000000</f>
        <v>278.05697914000001</v>
      </c>
      <c r="E19" s="15">
        <f>('[5]16_17 fleet_v2'!$D$362+'[5]16_17 fleet_v2'!$D$377)/1000000</f>
        <v>102.60639589</v>
      </c>
      <c r="F19" s="15">
        <f>('[5]16_17 fleet_v2'!$D242+'[5]16_17 fleet_v2'!$D257)/1000000</f>
        <v>7.3196208100000009</v>
      </c>
      <c r="G19" s="15">
        <f>('[5]16_17 fleet_v2'!$D332+'[5]16_17 fleet_v2'!$D347)/1000000</f>
        <v>7.8777429699999999</v>
      </c>
      <c r="H19" s="29">
        <f>[7]Southland!$M$8/1000000</f>
        <v>1234.9197360000001</v>
      </c>
      <c r="I19" s="13">
        <f t="shared" si="0"/>
        <v>1132.1353617100001</v>
      </c>
    </row>
    <row r="20" spans="2:9" ht="34.5" customHeight="1" thickTop="1" thickBot="1" x14ac:dyDescent="0.4">
      <c r="B20" s="20" t="s">
        <v>20</v>
      </c>
      <c r="C20" s="4">
        <f>(SUM('[5]16_17 fleet_v2'!$D$258:$D$272)+SUM('[5]16_17 fleet_v2'!$D$273:$D$287)+SUM('[5]16_17 fleet_v2'!$D$288:$D$302)+SUM('[5]16_17 fleet_v2'!$D$303:$D$317))/1000000</f>
        <v>34450.384512429999</v>
      </c>
      <c r="D20" s="4">
        <f>(SUM('[5]16_17 fleet_v2'!$D$378:$D$392)+SUM('[5]16_17 fleet_v2'!$D$393:$D$407)+SUM('[5]16_17 fleet_v2'!$D$408:$D$422)+SUM('[5]16_17 fleet_v2'!$D$423:$D$437))/1000000</f>
        <v>8118.3827808700007</v>
      </c>
      <c r="E20" s="4">
        <f>SUM('[5]16_17 fleet_v2'!$D$348:$D$377)/1000000</f>
        <v>2974.6366864499996</v>
      </c>
      <c r="F20" s="4">
        <f>(SUM('[5]16_17 fleet_v2'!$D$228:$D$242)+SUM('[5]16_17 fleet_v2'!$D$243:$D$257))/1000000</f>
        <v>285.50534501000004</v>
      </c>
      <c r="G20" s="4">
        <f>(SUM('[5]16_17 fleet_v2'!$D$318:$D$347))/1000000</f>
        <v>414.46694112999995</v>
      </c>
      <c r="H20" s="21"/>
      <c r="I20" s="9">
        <f t="shared" si="0"/>
        <v>46243.376265890001</v>
      </c>
    </row>
    <row r="21" spans="2:9" ht="32" thickTop="1" thickBot="1" x14ac:dyDescent="0.4">
      <c r="B21" s="31" t="s">
        <v>23</v>
      </c>
      <c r="C21" s="9">
        <f t="shared" ref="C21:H21" si="1">SUM(C6:C19)</f>
        <v>34450.084269019993</v>
      </c>
      <c r="D21" s="9">
        <f t="shared" si="1"/>
        <v>8118.2348700499988</v>
      </c>
      <c r="E21" s="9">
        <f t="shared" si="1"/>
        <v>2923.6236848799999</v>
      </c>
      <c r="F21" s="9">
        <f t="shared" si="1"/>
        <v>280.7337454900001</v>
      </c>
      <c r="G21" s="9">
        <f t="shared" si="1"/>
        <v>398.08296931999996</v>
      </c>
      <c r="H21" s="9">
        <f t="shared" si="1"/>
        <v>45236.85194700001</v>
      </c>
      <c r="I21" s="10"/>
    </row>
    <row r="22" spans="2:9" ht="16.5" thickTop="1" thickBot="1" x14ac:dyDescent="0.4">
      <c r="B22" s="8" t="s">
        <v>97</v>
      </c>
      <c r="C22" s="9">
        <f>('[5]16_17 fleet_v2'!$D$258+'[5]16_17 fleet_v2'!$D$273+'[5]16_17 fleet_v2'!$D$288+'[5]16_17 fleet_v2'!$D$303)/1000000</f>
        <v>0.30024340999999999</v>
      </c>
      <c r="D22" s="9">
        <f>('[5]16_17 fleet_v2'!$D$378+'[5]16_17 fleet_v2'!$D$393+'[5]16_17 fleet_v2'!$D$408+'[5]16_17 fleet_v2'!$D$423)/1000000</f>
        <v>0.14791082</v>
      </c>
      <c r="E22" s="9">
        <f>('[5]16_17 fleet_v2'!$D$348+'[5]16_17 fleet_v2'!$D$363)/1000000</f>
        <v>51.01300157</v>
      </c>
      <c r="F22" s="9">
        <f>('[5]16_17 fleet_v2'!$D$228+'[5]16_17 fleet_v2'!$D$243)/1000000</f>
        <v>4.7715995200000005</v>
      </c>
      <c r="G22" s="9">
        <f>('[5]16_17 fleet_v2'!$D$318+'[5]16_17 fleet_v2'!$D$333)/1000000</f>
        <v>16.383971810000002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34450.384512429991</v>
      </c>
      <c r="D23" s="9">
        <f>D21+D22</f>
        <v>8118.3827808699989</v>
      </c>
      <c r="E23" s="9">
        <f>E22+E21</f>
        <v>2974.6366864500001</v>
      </c>
      <c r="F23" s="9">
        <f>F21+F22</f>
        <v>285.5053450100001</v>
      </c>
      <c r="G23" s="9">
        <f>G21+G22</f>
        <v>414.46694112999995</v>
      </c>
      <c r="H23" s="10"/>
      <c r="I23" s="10"/>
    </row>
    <row r="24" spans="2:9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4:K30"/>
  <sheetViews>
    <sheetView workbookViewId="0">
      <selection activeCell="C23" sqref="C23:G23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2016-17 Data'!C6*C$22*$J6</f>
        <v>1310.4594569082421</v>
      </c>
      <c r="D6" s="11">
        <f>'Original 2016-17 Data'!D6*D$22*$J6</f>
        <v>397.56138070693328</v>
      </c>
      <c r="E6" s="11">
        <f>'Original 2016-17 Data'!E6*E$22*$J6</f>
        <v>144.68127590537878</v>
      </c>
      <c r="F6" s="11">
        <f>'Original 2016-17 Data'!F6*F$22*$J6</f>
        <v>11.219540743730134</v>
      </c>
      <c r="G6" s="11">
        <f>'Original 2016-17 Data'!G6*G$22*$J6</f>
        <v>13.936503563654707</v>
      </c>
      <c r="H6" s="11">
        <f>'Original 2016-17 Data'!H6*'Original 2016-17 Data'!$I$20/'Original 2016-17 Data'!$H$21</f>
        <v>1877.8581578279391</v>
      </c>
      <c r="I6" s="11">
        <f>SUM(C6:G6)</f>
        <v>1877.8581578279388</v>
      </c>
      <c r="J6" s="12">
        <v>1.094642866656802</v>
      </c>
      <c r="K6" s="12">
        <f>J6*H6/I6</f>
        <v>1.0946428666568022</v>
      </c>
    </row>
    <row r="7" spans="2:11" ht="15.5" x14ac:dyDescent="0.35">
      <c r="B7" s="24" t="s">
        <v>1</v>
      </c>
      <c r="C7" s="13">
        <f>'Original 2016-17 Data'!C7*C$22*$J7</f>
        <v>10918.950544000898</v>
      </c>
      <c r="D7" s="13">
        <f>'Original 2016-17 Data'!D7*D$22*$J7</f>
        <v>1831.9769456754079</v>
      </c>
      <c r="E7" s="13">
        <f>'Original 2016-17 Data'!E7*E$22*$J7</f>
        <v>661.10320489409708</v>
      </c>
      <c r="F7" s="13">
        <f>'Original 2016-17 Data'!F7*F$22*$J7</f>
        <v>101.89383247207647</v>
      </c>
      <c r="G7" s="13">
        <f>'Original 2016-17 Data'!G7*G$22*$J7</f>
        <v>104.47605597583795</v>
      </c>
      <c r="H7" s="13">
        <f>'Original 2016-17 Data'!H7*'Original 2016-17 Data'!$I$20/'Original 2016-17 Data'!$H$21</f>
        <v>13618.400583018316</v>
      </c>
      <c r="I7" s="13">
        <f t="shared" ref="I7:I20" si="0">SUM(C7:G7)</f>
        <v>13618.400583018318</v>
      </c>
      <c r="J7" s="14">
        <v>0.9161041230190009</v>
      </c>
      <c r="K7" s="14">
        <f t="shared" ref="K7:K19" si="1">J7*H7/I7</f>
        <v>0.91610412301900079</v>
      </c>
    </row>
    <row r="8" spans="2:11" ht="15.5" x14ac:dyDescent="0.35">
      <c r="B8" s="24" t="s">
        <v>2</v>
      </c>
      <c r="C8" s="13">
        <f>'Original 2016-17 Data'!C8*C$22*$J8</f>
        <v>4325.8637029715546</v>
      </c>
      <c r="D8" s="13">
        <f>'Original 2016-17 Data'!D8*D$22*$J8</f>
        <v>1141.4768309784886</v>
      </c>
      <c r="E8" s="13">
        <f>'Original 2016-17 Data'!E8*E$22*$J8</f>
        <v>433.93649280746615</v>
      </c>
      <c r="F8" s="13">
        <f>'Original 2016-17 Data'!F8*F$22*$J8</f>
        <v>22.969028075780507</v>
      </c>
      <c r="G8" s="13">
        <f>'Original 2016-17 Data'!G8*G$22*$J8</f>
        <v>50.55125646295086</v>
      </c>
      <c r="H8" s="13">
        <f>'Original 2016-17 Data'!H8*'Original 2016-17 Data'!$I$20/'Original 2016-17 Data'!$H$21</f>
        <v>5974.7973112962409</v>
      </c>
      <c r="I8" s="13">
        <f t="shared" si="0"/>
        <v>5974.7973112962409</v>
      </c>
      <c r="J8" s="14">
        <v>1.2383196574187587</v>
      </c>
      <c r="K8" s="14">
        <f t="shared" si="1"/>
        <v>1.2383196574187587</v>
      </c>
    </row>
    <row r="9" spans="2:11" ht="15.5" x14ac:dyDescent="0.35">
      <c r="B9" s="24" t="s">
        <v>3</v>
      </c>
      <c r="C9" s="13">
        <f>'Original 2016-17 Data'!C9*C$22*$J9</f>
        <v>2282.4128309615326</v>
      </c>
      <c r="D9" s="13">
        <f>'Original 2016-17 Data'!D9*D$22*$J9</f>
        <v>650.78731361289783</v>
      </c>
      <c r="E9" s="13">
        <f>'Original 2016-17 Data'!E9*E$22*$J9</f>
        <v>260.02752815483871</v>
      </c>
      <c r="F9" s="13">
        <f>'Original 2016-17 Data'!F9*F$22*$J9</f>
        <v>15.704149949548299</v>
      </c>
      <c r="G9" s="13">
        <f>'Original 2016-17 Data'!G9*G$22*$J9</f>
        <v>29.937966164015663</v>
      </c>
      <c r="H9" s="13">
        <f>'Original 2016-17 Data'!H9*'Original 2016-17 Data'!$I$20/'Original 2016-17 Data'!$H$21</f>
        <v>3238.8697888428333</v>
      </c>
      <c r="I9" s="13">
        <f t="shared" si="0"/>
        <v>3238.8697888428328</v>
      </c>
      <c r="J9" s="14">
        <v>0.90613990751195883</v>
      </c>
      <c r="K9" s="14">
        <f t="shared" si="1"/>
        <v>0.90613990751195894</v>
      </c>
    </row>
    <row r="10" spans="2:11" ht="15.5" x14ac:dyDescent="0.35">
      <c r="B10" s="24" t="s">
        <v>4</v>
      </c>
      <c r="C10" s="13">
        <f>'Original 2016-17 Data'!C10*C$22*$J10</f>
        <v>251.16506051511524</v>
      </c>
      <c r="D10" s="13">
        <f>'Original 2016-17 Data'!D10*D$22*$J10</f>
        <v>114.90818236685307</v>
      </c>
      <c r="E10" s="13">
        <f>'Original 2016-17 Data'!E10*E$22*$J10</f>
        <v>37.903907769942656</v>
      </c>
      <c r="F10" s="13">
        <f>'Original 2016-17 Data'!F10*F$22*$J10</f>
        <v>1.8437925209266235</v>
      </c>
      <c r="G10" s="13">
        <f>'Original 2016-17 Data'!G10*G$22*$J10</f>
        <v>3.1917678125708666</v>
      </c>
      <c r="H10" s="13">
        <f>'Original 2016-17 Data'!H10*'Original 2016-17 Data'!$I$20/'Original 2016-17 Data'!$H$21</f>
        <v>409.01271098540849</v>
      </c>
      <c r="I10" s="13">
        <f t="shared" si="0"/>
        <v>409.01271098540843</v>
      </c>
      <c r="J10" s="14">
        <v>1.0493185514670542</v>
      </c>
      <c r="K10" s="14">
        <f t="shared" si="1"/>
        <v>1.0493185514670544</v>
      </c>
    </row>
    <row r="11" spans="2:11" ht="15.5" x14ac:dyDescent="0.35">
      <c r="B11" s="24" t="s">
        <v>5</v>
      </c>
      <c r="C11" s="13">
        <f>'Original 2016-17 Data'!C11*C$22*$J11</f>
        <v>1161.2288929729091</v>
      </c>
      <c r="D11" s="13">
        <f>'Original 2016-17 Data'!D11*D$22*$J11</f>
        <v>331.21436331063632</v>
      </c>
      <c r="E11" s="13">
        <f>'Original 2016-17 Data'!E11*E$22*$J11</f>
        <v>118.48078788976672</v>
      </c>
      <c r="F11" s="13">
        <f>'Original 2016-17 Data'!F11*F$22*$J11</f>
        <v>5.410971667425196</v>
      </c>
      <c r="G11" s="13">
        <f>'Original 2016-17 Data'!G11*G$22*$J11</f>
        <v>13.680742605734771</v>
      </c>
      <c r="H11" s="13">
        <f>'Original 2016-17 Data'!H11*'Original 2016-17 Data'!$I$20/'Original 2016-17 Data'!$H$21</f>
        <v>1630.0157584464725</v>
      </c>
      <c r="I11" s="13">
        <f t="shared" si="0"/>
        <v>1630.0157584464723</v>
      </c>
      <c r="J11" s="14">
        <v>1.0478624231413032</v>
      </c>
      <c r="K11" s="14">
        <f t="shared" si="1"/>
        <v>1.0478624231413034</v>
      </c>
    </row>
    <row r="12" spans="2:11" ht="15.5" x14ac:dyDescent="0.35">
      <c r="B12" s="24" t="s">
        <v>6</v>
      </c>
      <c r="C12" s="13">
        <f>'Original 2016-17 Data'!C12*C$22*$J12</f>
        <v>816.64413779227027</v>
      </c>
      <c r="D12" s="13">
        <f>'Original 2016-17 Data'!D12*D$22*$J12</f>
        <v>217.29820314360182</v>
      </c>
      <c r="E12" s="13">
        <f>'Original 2016-17 Data'!E12*E$22*$J12</f>
        <v>95.754915641963777</v>
      </c>
      <c r="F12" s="13">
        <f>'Original 2016-17 Data'!F12*F$22*$J12</f>
        <v>3.5737925857278485</v>
      </c>
      <c r="G12" s="13">
        <f>'Original 2016-17 Data'!G12*G$22*$J12</f>
        <v>13.001290265147537</v>
      </c>
      <c r="H12" s="13">
        <f>'Original 2016-17 Data'!H12*'Original 2016-17 Data'!$I$20/'Original 2016-17 Data'!$H$21</f>
        <v>1146.2723394287111</v>
      </c>
      <c r="I12" s="13">
        <f t="shared" si="0"/>
        <v>1146.2723394287116</v>
      </c>
      <c r="J12" s="14">
        <v>1.0254309987362333</v>
      </c>
      <c r="K12" s="14">
        <f t="shared" si="1"/>
        <v>1.0254309987362329</v>
      </c>
    </row>
    <row r="13" spans="2:11" ht="15.5" x14ac:dyDescent="0.35">
      <c r="B13" s="24" t="s">
        <v>7</v>
      </c>
      <c r="C13" s="13">
        <f>'Original 2016-17 Data'!C13*C$22*$J13</f>
        <v>1839.4830985948263</v>
      </c>
      <c r="D13" s="13">
        <f>'Original 2016-17 Data'!D13*D$22*$J13</f>
        <v>525.47706786232436</v>
      </c>
      <c r="E13" s="13">
        <f>'Original 2016-17 Data'!E13*E$22*$J13</f>
        <v>210.09530635285617</v>
      </c>
      <c r="F13" s="13">
        <f>'Original 2016-17 Data'!F13*F$22*$J13</f>
        <v>9.6975881647231397</v>
      </c>
      <c r="G13" s="13">
        <f>'Original 2016-17 Data'!G13*G$22*$J13</f>
        <v>27.613416852924839</v>
      </c>
      <c r="H13" s="13">
        <f>'Original 2016-17 Data'!H13*'Original 2016-17 Data'!$I$20/'Original 2016-17 Data'!$H$21</f>
        <v>2612.3664778276548</v>
      </c>
      <c r="I13" s="13">
        <f t="shared" si="0"/>
        <v>2612.3664778276548</v>
      </c>
      <c r="J13" s="14">
        <v>1.1274360576318792</v>
      </c>
      <c r="K13" s="14">
        <f t="shared" si="1"/>
        <v>1.1274360576318792</v>
      </c>
    </row>
    <row r="14" spans="2:11" ht="15.5" x14ac:dyDescent="0.35">
      <c r="B14" s="24" t="s">
        <v>8</v>
      </c>
      <c r="C14" s="13">
        <f>'Original 2016-17 Data'!C14*C$22*$J14</f>
        <v>2915.2258368759049</v>
      </c>
      <c r="D14" s="13">
        <f>'Original 2016-17 Data'!D14*D$22*$J14</f>
        <v>514.26487795925254</v>
      </c>
      <c r="E14" s="13">
        <f>'Original 2016-17 Data'!E14*E$22*$J14</f>
        <v>145.99577978492675</v>
      </c>
      <c r="F14" s="13">
        <f>'Original 2016-17 Data'!F14*F$22*$J14</f>
        <v>20.026365851035507</v>
      </c>
      <c r="G14" s="13">
        <f>'Original 2016-17 Data'!G14*G$22*$J14</f>
        <v>44.380055634303879</v>
      </c>
      <c r="H14" s="13">
        <f>'Original 2016-17 Data'!H14*'Original 2016-17 Data'!$I$20/'Original 2016-17 Data'!$H$21</f>
        <v>3639.8929161054234</v>
      </c>
      <c r="I14" s="13">
        <f t="shared" si="0"/>
        <v>3639.8929161054239</v>
      </c>
      <c r="J14" s="14">
        <v>0.90925372562529627</v>
      </c>
      <c r="K14" s="14">
        <f t="shared" si="1"/>
        <v>0.90925372562529616</v>
      </c>
    </row>
    <row r="15" spans="2:11" ht="15.5" x14ac:dyDescent="0.35">
      <c r="B15" s="24" t="s">
        <v>9</v>
      </c>
      <c r="C15" s="13">
        <f>'Original 2016-17 Data'!C15*C$22*$J15</f>
        <v>1050.7576353443119</v>
      </c>
      <c r="D15" s="13">
        <f>'Original 2016-17 Data'!D15*D$22*$J15</f>
        <v>316.51914203250629</v>
      </c>
      <c r="E15" s="13">
        <f>'Original 2016-17 Data'!E15*E$22*$J15</f>
        <v>107.78043224530198</v>
      </c>
      <c r="F15" s="13">
        <f>'Original 2016-17 Data'!F15*F$22*$J15</f>
        <v>6.7725013683992685</v>
      </c>
      <c r="G15" s="13">
        <f>'Original 2016-17 Data'!G15*G$22*$J15</f>
        <v>19.546073851503056</v>
      </c>
      <c r="H15" s="13">
        <f>'Original 2016-17 Data'!H15*'Original 2016-17 Data'!$I$20/'Original 2016-17 Data'!$H$21</f>
        <v>1501.3757848420225</v>
      </c>
      <c r="I15" s="13">
        <f t="shared" si="0"/>
        <v>1501.3757848420223</v>
      </c>
      <c r="J15" s="14">
        <v>0.94844747704284738</v>
      </c>
      <c r="K15" s="14">
        <f t="shared" si="1"/>
        <v>0.94844747704284749</v>
      </c>
    </row>
    <row r="16" spans="2:11" ht="15.5" x14ac:dyDescent="0.35">
      <c r="B16" s="24" t="s">
        <v>10</v>
      </c>
      <c r="C16" s="13">
        <f>'Original 2016-17 Data'!C16*C$22*$J16</f>
        <v>366.43774871601812</v>
      </c>
      <c r="D16" s="13">
        <f>'Original 2016-17 Data'!D16*D$22*$J16</f>
        <v>139.23474761311437</v>
      </c>
      <c r="E16" s="13">
        <f>'Original 2016-17 Data'!E16*E$22*$J16</f>
        <v>55.38083484363041</v>
      </c>
      <c r="F16" s="13">
        <f>'Original 2016-17 Data'!F16*F$22*$J16</f>
        <v>2.9532775649776024</v>
      </c>
      <c r="G16" s="13">
        <f>'Original 2016-17 Data'!G16*G$22*$J16</f>
        <v>7.1659192329701016</v>
      </c>
      <c r="H16" s="13">
        <f>'Original 2016-17 Data'!H16*'Original 2016-17 Data'!$I$20/'Original 2016-17 Data'!$H$21</f>
        <v>571.17252797071069</v>
      </c>
      <c r="I16" s="13">
        <f t="shared" si="0"/>
        <v>571.17252797071058</v>
      </c>
      <c r="J16" s="14">
        <v>1.7319937880870762</v>
      </c>
      <c r="K16" s="14">
        <f t="shared" si="1"/>
        <v>1.7319937880870766</v>
      </c>
    </row>
    <row r="17" spans="2:11" ht="15.5" x14ac:dyDescent="0.35">
      <c r="B17" s="24" t="s">
        <v>11</v>
      </c>
      <c r="C17" s="13">
        <f>'Original 2016-17 Data'!C17*C$22*$J17</f>
        <v>4571.0726138429181</v>
      </c>
      <c r="D17" s="13">
        <f>'Original 2016-17 Data'!D17*D$22*$J17</f>
        <v>1150.5277407941246</v>
      </c>
      <c r="E17" s="13">
        <f>'Original 2016-17 Data'!E17*E$22*$J17</f>
        <v>438.52715852727829</v>
      </c>
      <c r="F17" s="13">
        <f>'Original 2016-17 Data'!F17*F$22*$J17</f>
        <v>53.922018565639881</v>
      </c>
      <c r="G17" s="13">
        <f>'Original 2016-17 Data'!G17*G$22*$J17</f>
        <v>57.936037287034118</v>
      </c>
      <c r="H17" s="13">
        <f>'Original 2016-17 Data'!H17*'Original 2016-17 Data'!$I$20/'Original 2016-17 Data'!$H$21</f>
        <v>6271.9855690169961</v>
      </c>
      <c r="I17" s="13">
        <f t="shared" si="0"/>
        <v>6271.9855690169952</v>
      </c>
      <c r="J17" s="14">
        <v>0.93333405219450705</v>
      </c>
      <c r="K17" s="14">
        <f t="shared" si="1"/>
        <v>0.93333405219450727</v>
      </c>
    </row>
    <row r="18" spans="2:11" ht="15.5" x14ac:dyDescent="0.35">
      <c r="B18" s="24" t="s">
        <v>12</v>
      </c>
      <c r="C18" s="13">
        <f>'Original 2016-17 Data'!C18*C$22*$J18</f>
        <v>1815.9593180970548</v>
      </c>
      <c r="D18" s="13">
        <f>'Original 2016-17 Data'!D18*D$22*$J18</f>
        <v>481.56820071250354</v>
      </c>
      <c r="E18" s="13">
        <f>'Original 2016-17 Data'!E18*E$22*$J18</f>
        <v>150.45720998322528</v>
      </c>
      <c r="F18" s="13">
        <f>'Original 2016-17 Data'!F18*F$22*$J18</f>
        <v>21.073427945817279</v>
      </c>
      <c r="G18" s="13">
        <f>'Original 2016-17 Data'!G18*G$22*$J18</f>
        <v>19.901364309339975</v>
      </c>
      <c r="H18" s="13">
        <f>'Original 2016-17 Data'!H18*'Original 2016-17 Data'!$I$20/'Original 2016-17 Data'!$H$21</f>
        <v>2488.9595210479411</v>
      </c>
      <c r="I18" s="13">
        <f t="shared" si="0"/>
        <v>2488.9595210479411</v>
      </c>
      <c r="J18" s="14">
        <v>1.1752788477730838</v>
      </c>
      <c r="K18" s="14">
        <f t="shared" si="1"/>
        <v>1.1752788477730838</v>
      </c>
    </row>
    <row r="19" spans="2:11" ht="16" thickBot="1" x14ac:dyDescent="0.4">
      <c r="B19" s="25" t="s">
        <v>13</v>
      </c>
      <c r="C19" s="15">
        <f>'Original 2016-17 Data'!C19*C$22*$J19</f>
        <v>824.69733495133607</v>
      </c>
      <c r="D19" s="15">
        <f>'Original 2016-17 Data'!D19*D$22*$J19</f>
        <v>305.58632051205348</v>
      </c>
      <c r="E19" s="15">
        <f>'Original 2016-17 Data'!E19*E$22*$J19</f>
        <v>114.5199435578987</v>
      </c>
      <c r="F19" s="15">
        <f>'Original 2016-17 Data'!F19*F$22*$J19</f>
        <v>8.4445767328455812</v>
      </c>
      <c r="G19" s="15">
        <f>'Original 2016-17 Data'!G19*G$22*$J19</f>
        <v>9.1486434791888858</v>
      </c>
      <c r="H19" s="15">
        <f>'Original 2016-17 Data'!H19*'Original 2016-17 Data'!$I$20/'Original 2016-17 Data'!$H$21</f>
        <v>1262.3968192333227</v>
      </c>
      <c r="I19" s="15">
        <f t="shared" si="0"/>
        <v>1262.3968192333227</v>
      </c>
      <c r="J19" s="16">
        <v>1.1148622934176697</v>
      </c>
      <c r="K19" s="16">
        <f t="shared" si="1"/>
        <v>1.1148622934176697</v>
      </c>
    </row>
    <row r="20" spans="2:11" ht="32.25" customHeight="1" thickTop="1" thickBot="1" x14ac:dyDescent="0.4">
      <c r="B20" s="20" t="s">
        <v>20</v>
      </c>
      <c r="C20" s="4">
        <f>'Original 2016-17 Data'!C20</f>
        <v>34450.384512429999</v>
      </c>
      <c r="D20" s="4">
        <f>'Original 2016-17 Data'!D20</f>
        <v>8118.3827808700007</v>
      </c>
      <c r="E20" s="4">
        <f>'Original 2016-17 Data'!E20</f>
        <v>2974.6366864499996</v>
      </c>
      <c r="F20" s="4">
        <f>'Original 2016-17 Data'!F20</f>
        <v>285.50534501000004</v>
      </c>
      <c r="G20" s="4">
        <f>'Original 2016-17 Data'!G20</f>
        <v>414.46694112999995</v>
      </c>
      <c r="H20" s="5"/>
      <c r="I20" s="9">
        <f t="shared" si="0"/>
        <v>46243.376265890001</v>
      </c>
    </row>
    <row r="21" spans="2:11" ht="32" thickTop="1" thickBot="1" x14ac:dyDescent="0.4">
      <c r="B21" s="31" t="s">
        <v>23</v>
      </c>
      <c r="C21" s="9">
        <f t="shared" ref="C21:H21" si="2">SUM(C6:C19)</f>
        <v>34450.358212544888</v>
      </c>
      <c r="D21" s="9">
        <f t="shared" si="2"/>
        <v>8118.401317280699</v>
      </c>
      <c r="E21" s="9">
        <f t="shared" si="2"/>
        <v>2974.6447783585722</v>
      </c>
      <c r="F21" s="9">
        <f t="shared" si="2"/>
        <v>285.50486420865337</v>
      </c>
      <c r="G21" s="9">
        <f t="shared" si="2"/>
        <v>414.46709349717725</v>
      </c>
      <c r="H21" s="9">
        <f t="shared" si="2"/>
        <v>46243.37626588998</v>
      </c>
      <c r="I21" s="6"/>
    </row>
    <row r="22" spans="2:11" ht="16.5" thickTop="1" thickBot="1" x14ac:dyDescent="0.4">
      <c r="B22" s="8" t="s">
        <v>16</v>
      </c>
      <c r="C22" s="10">
        <v>1.0046933600736137</v>
      </c>
      <c r="D22" s="10">
        <v>0.98577745602828348</v>
      </c>
      <c r="E22" s="10">
        <v>1.00111844984433</v>
      </c>
      <c r="F22" s="10">
        <v>1.0348277732528652</v>
      </c>
      <c r="G22" s="10">
        <v>1.041678425896573</v>
      </c>
      <c r="H22" s="17"/>
    </row>
    <row r="23" spans="2:11" ht="16.5" thickTop="1" thickBot="1" x14ac:dyDescent="0.4">
      <c r="B23" s="8" t="s">
        <v>17</v>
      </c>
      <c r="C23" s="10">
        <f>C22*C20/C21</f>
        <v>1.0046941270705714</v>
      </c>
      <c r="D23" s="10">
        <f>D22*D20/D21</f>
        <v>0.98577520524329909</v>
      </c>
      <c r="E23" s="10">
        <f>E22*E20/E21</f>
        <v>1.0011157265077402</v>
      </c>
      <c r="F23" s="10">
        <f>F22*F20/F21</f>
        <v>1.0348295159432683</v>
      </c>
      <c r="G23" s="10">
        <f>G22*G20/G21</f>
        <v>1.0416780429527788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27"/>
  <sheetViews>
    <sheetView workbookViewId="0">
      <selection activeCell="F12" sqref="F12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179</v>
      </c>
      <c r="I5" s="30" t="s">
        <v>22</v>
      </c>
    </row>
    <row r="6" spans="2:9" ht="16" thickTop="1" x14ac:dyDescent="0.35">
      <c r="B6" s="26" t="s">
        <v>0</v>
      </c>
      <c r="C6" s="11">
        <f>('[6]17_18 fleet_v3'!$D261+'[6]17_18 fleet_v3'!$D276+'[6]17_18 fleet_v3'!$D291+'[6]17_18 fleet_v3'!$D306)/1000000</f>
        <v>1222.3722107600001</v>
      </c>
      <c r="D6" s="11">
        <f>('[6]17_18 fleet_v3'!$D381+'[6]17_18 fleet_v3'!$D396+'[6]17_18 fleet_v3'!$D411+'[6]17_18 fleet_v3'!$D426)/1000000</f>
        <v>394.21258645</v>
      </c>
      <c r="E6" s="11">
        <f>('[6]17_18 fleet_v3'!$D$351+'[6]17_18 fleet_v3'!$D$366)/1000000</f>
        <v>130.40423832000002</v>
      </c>
      <c r="F6" s="11">
        <f>('[6]17_18 fleet_v3'!$D231+'[6]17_18 fleet_v3'!$D246)/1000000</f>
        <v>10.22740134</v>
      </c>
      <c r="G6" s="11">
        <f>('[6]17_18 fleet_v3'!$D321+'[6]17_18 fleet_v3'!$D336)/1000000</f>
        <v>11.7577309</v>
      </c>
      <c r="H6" s="28">
        <v>2006.32</v>
      </c>
      <c r="I6" s="13">
        <f>SUM(C6:G6)</f>
        <v>1768.9741677700001</v>
      </c>
    </row>
    <row r="7" spans="2:9" ht="15.5" x14ac:dyDescent="0.35">
      <c r="B7" s="27" t="s">
        <v>1</v>
      </c>
      <c r="C7" s="13">
        <f>('[6]17_18 fleet_v3'!$D262+'[6]17_18 fleet_v3'!$D277+'[6]17_18 fleet_v3'!$D292+'[6]17_18 fleet_v3'!$D307)/1000000</f>
        <v>12012.68093651</v>
      </c>
      <c r="D7" s="13">
        <f>('[6]17_18 fleet_v3'!$D382+'[6]17_18 fleet_v3'!$D397+'[6]17_18 fleet_v3'!$D412+'[6]17_18 fleet_v3'!$D427)/1000000</f>
        <v>2174.8345438599999</v>
      </c>
      <c r="E7" s="13">
        <f>('[6]17_18 fleet_v3'!$D$352+'[6]17_18 fleet_v3'!$D$367)/1000000</f>
        <v>754.28003437999996</v>
      </c>
      <c r="F7" s="13">
        <f>('[6]17_18 fleet_v3'!$D232+'[6]17_18 fleet_v3'!$D247)/1000000</f>
        <v>116.52235103</v>
      </c>
      <c r="G7" s="13">
        <f>('[6]17_18 fleet_v3'!$D322+'[6]17_18 fleet_v3'!$D337)/1000000</f>
        <v>105.9844626</v>
      </c>
      <c r="H7" s="29">
        <v>13166.39</v>
      </c>
      <c r="I7" s="13">
        <f t="shared" ref="I7:I20" si="0">SUM(C7:G7)</f>
        <v>15164.302328379999</v>
      </c>
    </row>
    <row r="8" spans="2:9" ht="15.5" x14ac:dyDescent="0.35">
      <c r="B8" s="27" t="s">
        <v>2</v>
      </c>
      <c r="C8" s="13">
        <f>('[6]17_18 fleet_v3'!$D263+'[6]17_18 fleet_v3'!$D278+'[6]17_18 fleet_v3'!$D293+'[6]17_18 fleet_v3'!$D308)/1000000</f>
        <v>3404.5268509499997</v>
      </c>
      <c r="D8" s="13">
        <f>('[6]17_18 fleet_v3'!$D383+'[6]17_18 fleet_v3'!$D398+'[6]17_18 fleet_v3'!$D413+'[6]17_18 fleet_v3'!$D428)/1000000</f>
        <v>992.89885659000004</v>
      </c>
      <c r="E8" s="13">
        <f>('[6]17_18 fleet_v3'!$D$353+'[6]17_18 fleet_v3'!$D$368)/1000000</f>
        <v>350.48487048999999</v>
      </c>
      <c r="F8" s="13">
        <f>('[6]17_18 fleet_v3'!$D233+'[6]17_18 fleet_v3'!$D248)/1000000</f>
        <v>16.63152526</v>
      </c>
      <c r="G8" s="13">
        <f>('[6]17_18 fleet_v3'!$D323+'[6]17_18 fleet_v3'!$D338)/1000000</f>
        <v>37.905933879999999</v>
      </c>
      <c r="H8" s="29">
        <v>6249.05</v>
      </c>
      <c r="I8" s="13">
        <f t="shared" si="0"/>
        <v>4802.4480371699992</v>
      </c>
    </row>
    <row r="9" spans="2:9" ht="15.5" x14ac:dyDescent="0.35">
      <c r="B9" s="27" t="s">
        <v>3</v>
      </c>
      <c r="C9" s="13">
        <f>('[6]17_18 fleet_v3'!$D264+'[6]17_18 fleet_v3'!$D279+'[6]17_18 fleet_v3'!$D294+'[6]17_18 fleet_v3'!$D309)/1000000</f>
        <v>2523.5495556299998</v>
      </c>
      <c r="D9" s="13">
        <f>('[6]17_18 fleet_v3'!$D384+'[6]17_18 fleet_v3'!$D399+'[6]17_18 fleet_v3'!$D414+'[6]17_18 fleet_v3'!$D429)/1000000</f>
        <v>779.54971090999993</v>
      </c>
      <c r="E9" s="13">
        <f>('[6]17_18 fleet_v3'!$D$354+'[6]17_18 fleet_v3'!$D$369)/1000000</f>
        <v>297.71717952999995</v>
      </c>
      <c r="F9" s="13">
        <f>('[6]17_18 fleet_v3'!$D234+'[6]17_18 fleet_v3'!$D249)/1000000</f>
        <v>16.758992849999998</v>
      </c>
      <c r="G9" s="13">
        <f>('[6]17_18 fleet_v3'!$D324+'[6]17_18 fleet_v3'!$D339)/1000000</f>
        <v>32.345730019999998</v>
      </c>
      <c r="H9" s="29">
        <v>3203.73</v>
      </c>
      <c r="I9" s="13">
        <f t="shared" si="0"/>
        <v>3649.9211689399999</v>
      </c>
    </row>
    <row r="10" spans="2:9" ht="15.5" x14ac:dyDescent="0.35">
      <c r="B10" s="27" t="s">
        <v>4</v>
      </c>
      <c r="C10" s="13">
        <f>('[6]17_18 fleet_v3'!$D265+'[6]17_18 fleet_v3'!$D280+'[6]17_18 fleet_v3'!$D295+'[6]17_18 fleet_v3'!$D310)/1000000</f>
        <v>230.24331193999998</v>
      </c>
      <c r="D10" s="13">
        <f>('[6]17_18 fleet_v3'!$D385+'[6]17_18 fleet_v3'!$D400+'[6]17_18 fleet_v3'!$D415+'[6]17_18 fleet_v3'!$D430)/1000000</f>
        <v>115.28419291999998</v>
      </c>
      <c r="E10" s="13">
        <f>('[6]17_18 fleet_v3'!$D$355+'[6]17_18 fleet_v3'!$D$370)/1000000</f>
        <v>28.06552323</v>
      </c>
      <c r="F10" s="13">
        <f>('[6]17_18 fleet_v3'!$D235+'[6]17_18 fleet_v3'!$D250)/1000000</f>
        <v>1.2269200899999999</v>
      </c>
      <c r="G10" s="13">
        <f>('[6]17_18 fleet_v3'!$D325+'[6]17_18 fleet_v3'!$D340)/1000000</f>
        <v>2.8672167100000001</v>
      </c>
      <c r="H10" s="29">
        <v>404.5</v>
      </c>
      <c r="I10" s="13">
        <f t="shared" si="0"/>
        <v>377.68716488999996</v>
      </c>
    </row>
    <row r="11" spans="2:9" ht="15.5" x14ac:dyDescent="0.35">
      <c r="B11" s="27" t="s">
        <v>5</v>
      </c>
      <c r="C11" s="13">
        <f>('[6]17_18 fleet_v3'!$D266+'[6]17_18 fleet_v3'!$D281+'[6]17_18 fleet_v3'!$D296+'[6]17_18 fleet_v3'!$D311)/1000000</f>
        <v>1088.7262322500001</v>
      </c>
      <c r="D11" s="13">
        <f>('[6]17_18 fleet_v3'!$D386+'[6]17_18 fleet_v3'!$D401+'[6]17_18 fleet_v3'!$D416+'[6]17_18 fleet_v3'!$D431)/1000000</f>
        <v>339.68306428999995</v>
      </c>
      <c r="E11" s="13">
        <f>('[6]17_18 fleet_v3'!$D$356+'[6]17_18 fleet_v3'!$D$371)/1000000</f>
        <v>106.42745966</v>
      </c>
      <c r="F11" s="13">
        <f>('[6]17_18 fleet_v3'!$D236+'[6]17_18 fleet_v3'!$D251)/1000000</f>
        <v>5.0661583800000001</v>
      </c>
      <c r="G11" s="13">
        <f>('[6]17_18 fleet_v3'!$D326+'[6]17_18 fleet_v3'!$D341)/1000000</f>
        <v>12.69130693</v>
      </c>
      <c r="H11" s="29">
        <v>1619.99</v>
      </c>
      <c r="I11" s="13">
        <f t="shared" si="0"/>
        <v>1552.5942215100001</v>
      </c>
    </row>
    <row r="12" spans="2:9" ht="15.5" x14ac:dyDescent="0.35">
      <c r="B12" s="27" t="s">
        <v>6</v>
      </c>
      <c r="C12" s="13">
        <f>('[6]17_18 fleet_v3'!$D267+'[6]17_18 fleet_v3'!$D282+'[6]17_18 fleet_v3'!$D297+'[6]17_18 fleet_v3'!$D312)/1000000</f>
        <v>806.04421081999999</v>
      </c>
      <c r="D12" s="13">
        <f>('[6]17_18 fleet_v3'!$D387+'[6]17_18 fleet_v3'!$D402+'[6]17_18 fleet_v3'!$D417+'[6]17_18 fleet_v3'!$D432)/1000000</f>
        <v>228.67089439999998</v>
      </c>
      <c r="E12" s="13">
        <f>('[6]17_18 fleet_v3'!$D$357+'[6]17_18 fleet_v3'!$D$372)/1000000</f>
        <v>97.076210810000006</v>
      </c>
      <c r="F12" s="13">
        <f>('[6]17_18 fleet_v3'!$D237+'[6]17_18 fleet_v3'!$D252)/1000000</f>
        <v>3.19983321</v>
      </c>
      <c r="G12" s="13">
        <f>('[6]17_18 fleet_v3'!$D327+'[6]17_18 fleet_v3'!$D342)/1000000</f>
        <v>12.303408939999999</v>
      </c>
      <c r="H12" s="29">
        <v>1149.6300000000001</v>
      </c>
      <c r="I12" s="13">
        <f t="shared" si="0"/>
        <v>1147.29455818</v>
      </c>
    </row>
    <row r="13" spans="2:9" ht="15.5" x14ac:dyDescent="0.35">
      <c r="B13" s="27" t="s">
        <v>7</v>
      </c>
      <c r="C13" s="13">
        <f>('[6]17_18 fleet_v3'!$D268+'[6]17_18 fleet_v3'!$D283+'[6]17_18 fleet_v3'!$D298+'[6]17_18 fleet_v3'!$D313)/1000000</f>
        <v>1607.09211951</v>
      </c>
      <c r="D13" s="13">
        <f>('[6]17_18 fleet_v3'!$D388+'[6]17_18 fleet_v3'!$D403+'[6]17_18 fleet_v3'!$D418+'[6]17_18 fleet_v3'!$D433)/1000000</f>
        <v>500.13235884000005</v>
      </c>
      <c r="E13" s="13">
        <f>('[6]17_18 fleet_v3'!$D$358+'[6]17_18 fleet_v3'!$D$373)/1000000</f>
        <v>198.81300253999999</v>
      </c>
      <c r="F13" s="13">
        <f>('[6]17_18 fleet_v3'!$D238+'[6]17_18 fleet_v3'!$D253)/1000000</f>
        <v>8.6763114699999999</v>
      </c>
      <c r="G13" s="13">
        <f>('[6]17_18 fleet_v3'!$D328+'[6]17_18 fleet_v3'!$D343)/1000000</f>
        <v>21.83770677</v>
      </c>
      <c r="H13" s="29">
        <v>2565.4299999999998</v>
      </c>
      <c r="I13" s="13">
        <f t="shared" si="0"/>
        <v>2336.5514991300001</v>
      </c>
    </row>
    <row r="14" spans="2:9" ht="15.5" x14ac:dyDescent="0.35">
      <c r="B14" s="27" t="s">
        <v>8</v>
      </c>
      <c r="C14" s="13">
        <f>('[6]17_18 fleet_v3'!$D269+'[6]17_18 fleet_v3'!$D284+'[6]17_18 fleet_v3'!$D299+'[6]17_18 fleet_v3'!$D314)/1000000</f>
        <v>3244.3834329199994</v>
      </c>
      <c r="D14" s="13">
        <f>('[6]17_18 fleet_v3'!$D389+'[6]17_18 fleet_v3'!$D404+'[6]17_18 fleet_v3'!$D419+'[6]17_18 fleet_v3'!$D434)/1000000</f>
        <v>623.78359002000002</v>
      </c>
      <c r="E14" s="13">
        <f>('[6]17_18 fleet_v3'!$D$359+'[6]17_18 fleet_v3'!$D$374)/1000000</f>
        <v>181.56371962</v>
      </c>
      <c r="F14" s="13">
        <f>('[6]17_18 fleet_v3'!$D239+'[6]17_18 fleet_v3'!$D254)/1000000</f>
        <v>22.873131910000001</v>
      </c>
      <c r="G14" s="13">
        <f>('[6]17_18 fleet_v3'!$D329+'[6]17_18 fleet_v3'!$D344)/1000000</f>
        <v>46.638318560000002</v>
      </c>
      <c r="H14" s="29">
        <v>3706.52</v>
      </c>
      <c r="I14" s="13">
        <f t="shared" si="0"/>
        <v>4119.2421930299997</v>
      </c>
    </row>
    <row r="15" spans="2:9" ht="15.5" x14ac:dyDescent="0.35">
      <c r="B15" s="27" t="s">
        <v>9</v>
      </c>
      <c r="C15" s="13">
        <f>('[6]17_18 fleet_v3'!$D270+'[6]17_18 fleet_v3'!$D285+'[6]17_18 fleet_v3'!$D300+'[6]17_18 fleet_v3'!$D315)/1000000</f>
        <v>1166.8881252200001</v>
      </c>
      <c r="D15" s="13">
        <f>('[6]17_18 fleet_v3'!$D390+'[6]17_18 fleet_v3'!$D405+'[6]17_18 fleet_v3'!$D420+'[6]17_18 fleet_v3'!$D435)/1000000</f>
        <v>368.80322638999996</v>
      </c>
      <c r="E15" s="13">
        <f>('[6]17_18 fleet_v3'!$D$360+'[6]17_18 fleet_v3'!$D$375)/1000000</f>
        <v>111.48963316</v>
      </c>
      <c r="F15" s="13">
        <f>('[6]17_18 fleet_v3'!$D240+'[6]17_18 fleet_v3'!$D255)/1000000</f>
        <v>7.19065273</v>
      </c>
      <c r="G15" s="13">
        <f>('[6]17_18 fleet_v3'!$D330+'[6]17_18 fleet_v3'!$D345)/1000000</f>
        <v>19.784218220000003</v>
      </c>
      <c r="H15" s="29">
        <v>1552.4</v>
      </c>
      <c r="I15" s="13">
        <f t="shared" si="0"/>
        <v>1674.1558557200001</v>
      </c>
    </row>
    <row r="16" spans="2:9" ht="15.5" x14ac:dyDescent="0.35">
      <c r="B16" s="27" t="s">
        <v>10</v>
      </c>
      <c r="C16" s="13">
        <f>('[6]17_18 fleet_v3'!$D271+'[6]17_18 fleet_v3'!$D286+'[6]17_18 fleet_v3'!$D301+'[6]17_18 fleet_v3'!$D316)/1000000</f>
        <v>213.93058435</v>
      </c>
      <c r="D16" s="13">
        <f>('[6]17_18 fleet_v3'!$D391+'[6]17_18 fleet_v3'!$D406+'[6]17_18 fleet_v3'!$D421+'[6]17_18 fleet_v3'!$D436)/1000000</f>
        <v>82.482554780000001</v>
      </c>
      <c r="E16" s="13">
        <f>('[6]17_18 fleet_v3'!$D$361+'[6]17_18 fleet_v3'!$D$376)/1000000</f>
        <v>32.189965100000002</v>
      </c>
      <c r="F16" s="13">
        <f>('[6]17_18 fleet_v3'!$D241+'[6]17_18 fleet_v3'!$D256)/1000000</f>
        <v>1.6065370800000001</v>
      </c>
      <c r="G16" s="13">
        <f>('[6]17_18 fleet_v3'!$D331+'[6]17_18 fleet_v3'!$D346)/1000000</f>
        <v>3.9716022399999997</v>
      </c>
      <c r="H16" s="29">
        <v>601.96</v>
      </c>
      <c r="I16" s="13">
        <f t="shared" si="0"/>
        <v>334.18124354999998</v>
      </c>
    </row>
    <row r="17" spans="2:9" ht="15.5" x14ac:dyDescent="0.35">
      <c r="B17" s="27" t="s">
        <v>11</v>
      </c>
      <c r="C17" s="13">
        <f>('[6]17_18 fleet_v3'!$D272+'[6]17_18 fleet_v3'!$D287+'[6]17_18 fleet_v3'!$D302+'[6]17_18 fleet_v3'!$D317)/1000000</f>
        <v>4912.3204933000006</v>
      </c>
      <c r="D17" s="13">
        <f>('[6]17_18 fleet_v3'!$D392+'[6]17_18 fleet_v3'!$D407+'[6]17_18 fleet_v3'!$D422+'[6]17_18 fleet_v3'!$D437)/1000000</f>
        <v>1299.6301826399999</v>
      </c>
      <c r="E17" s="13">
        <f>('[6]17_18 fleet_v3'!$D$362+'[6]17_18 fleet_v3'!$D$377)/1000000</f>
        <v>467.12755345000005</v>
      </c>
      <c r="F17" s="13">
        <f>('[6]17_18 fleet_v3'!$D242+'[6]17_18 fleet_v3'!$D257)/1000000</f>
        <v>57.975818009999998</v>
      </c>
      <c r="G17" s="13">
        <f>('[6]17_18 fleet_v3'!$D332+'[6]17_18 fleet_v3'!$D347)/1000000</f>
        <v>58.678459759999996</v>
      </c>
      <c r="H17" s="29">
        <v>6427.82</v>
      </c>
      <c r="I17" s="13">
        <f t="shared" si="0"/>
        <v>6795.7325071600008</v>
      </c>
    </row>
    <row r="18" spans="2:9" ht="15.5" x14ac:dyDescent="0.35">
      <c r="B18" s="27" t="s">
        <v>12</v>
      </c>
      <c r="C18" s="13">
        <f>('[6]17_18 fleet_v3'!$D273+'[6]17_18 fleet_v3'!$D288+'[6]17_18 fleet_v3'!$D303+'[6]17_18 fleet_v3'!$D318)/1000000</f>
        <v>2310.3008817399996</v>
      </c>
      <c r="D18" s="13">
        <f>('[6]17_18 fleet_v3'!$D393+'[6]17_18 fleet_v3'!$D408+'[6]17_18 fleet_v3'!$D423+'[6]17_18 fleet_v3'!$D438)/1000000</f>
        <v>618.56664425999998</v>
      </c>
      <c r="E18" s="13">
        <f>('[6]17_18 fleet_v3'!$D$363+'[6]17_18 fleet_v3'!$D$378)/1000000</f>
        <v>211.29132453</v>
      </c>
      <c r="F18" s="13">
        <f>('[6]17_18 fleet_v3'!$D243+'[6]17_18 fleet_v3'!$D258)/1000000</f>
        <v>21.639726099999997</v>
      </c>
      <c r="G18" s="13">
        <f>('[6]17_18 fleet_v3'!$D333+'[6]17_18 fleet_v3'!$D348)/1000000</f>
        <v>19.729353150000001</v>
      </c>
      <c r="H18" s="29">
        <v>2634.5</v>
      </c>
      <c r="I18" s="13">
        <f t="shared" si="0"/>
        <v>3181.5279297799998</v>
      </c>
    </row>
    <row r="19" spans="2:9" ht="16" thickBot="1" x14ac:dyDescent="0.4">
      <c r="B19" s="27" t="s">
        <v>13</v>
      </c>
      <c r="C19" s="15">
        <f>('[6]17_18 fleet_v3'!$D274+'[6]17_18 fleet_v3'!$D289+'[6]17_18 fleet_v3'!$D304+'[6]17_18 fleet_v3'!$D319)/1000000</f>
        <v>729.73263916999997</v>
      </c>
      <c r="D19" s="15">
        <f>('[6]17_18 fleet_v3'!$D394+'[6]17_18 fleet_v3'!$D409+'[6]17_18 fleet_v3'!$D424+'[6]17_18 fleet_v3'!$D439)/1000000</f>
        <v>290.44111389</v>
      </c>
      <c r="E19" s="15">
        <f>('[6]17_18 fleet_v3'!$D$364+'[6]17_18 fleet_v3'!$D$379)/1000000</f>
        <v>107.66634764</v>
      </c>
      <c r="F19" s="15">
        <f>('[6]17_18 fleet_v3'!$D244+'[6]17_18 fleet_v3'!$D259)/1000000</f>
        <v>7.5521039199999995</v>
      </c>
      <c r="G19" s="15">
        <f>('[6]17_18 fleet_v3'!$D334+'[6]17_18 fleet_v3'!$D349)/1000000</f>
        <v>7.6557094400000008</v>
      </c>
      <c r="H19" s="29">
        <v>1266.1600000000001</v>
      </c>
      <c r="I19" s="13">
        <f t="shared" si="0"/>
        <v>1143.04791406</v>
      </c>
    </row>
    <row r="20" spans="2:9" ht="34.5" customHeight="1" thickTop="1" thickBot="1" x14ac:dyDescent="0.4">
      <c r="B20" s="20" t="s">
        <v>20</v>
      </c>
      <c r="C20" s="4">
        <f>(SUM('[6]17_18 fleet_v3'!$D$260:$D$274)+SUM('[6]17_18 fleet_v3'!$D$275:$D$289)+SUM('[6]17_18 fleet_v3'!$D$290:$D$304)+SUM('[6]17_18 fleet_v3'!$D$305:$D$319))/1000000</f>
        <v>35474.174117200004</v>
      </c>
      <c r="D20" s="4">
        <f>(SUM('[6]17_18 fleet_v3'!$D$380:$D$394)+SUM('[6]17_18 fleet_v3'!$D$395:$D$409)+SUM('[6]17_18 fleet_v3'!$D$410:$D$424)+SUM('[6]17_18 fleet_v3'!$D$425:$D$439))/1000000</f>
        <v>8809.6783326900004</v>
      </c>
      <c r="E20" s="4">
        <f>SUM('[6]17_18 fleet_v3'!$D$350:$D$379)/1000000</f>
        <v>3136.6937666900008</v>
      </c>
      <c r="F20" s="4">
        <f>(SUM('[6]17_18 fleet_v3'!$D$230:$D$244)+SUM('[6]17_18 fleet_v3'!$D$245:$D$259))/1000000</f>
        <v>301.64990018999993</v>
      </c>
      <c r="G20" s="4">
        <f>(SUM('[6]17_18 fleet_v3'!$D$320:$D$349))/1000000</f>
        <v>413.75141237999998</v>
      </c>
      <c r="H20" s="21"/>
      <c r="I20" s="9">
        <f t="shared" si="0"/>
        <v>48135.947529150006</v>
      </c>
    </row>
    <row r="21" spans="2:9" ht="32" thickTop="1" thickBot="1" x14ac:dyDescent="0.4">
      <c r="B21" s="31" t="s">
        <v>23</v>
      </c>
      <c r="C21" s="9">
        <f t="shared" ref="C21:H21" si="1">SUM(C6:C19)</f>
        <v>35472.791585070001</v>
      </c>
      <c r="D21" s="9">
        <f t="shared" si="1"/>
        <v>8808.9735202400007</v>
      </c>
      <c r="E21" s="9">
        <f t="shared" si="1"/>
        <v>3074.59706246</v>
      </c>
      <c r="F21" s="9">
        <f t="shared" si="1"/>
        <v>297.14746338000003</v>
      </c>
      <c r="G21" s="9">
        <f t="shared" si="1"/>
        <v>394.15115812000005</v>
      </c>
      <c r="H21" s="9">
        <f t="shared" si="1"/>
        <v>46554.400000000001</v>
      </c>
      <c r="I21" s="10"/>
    </row>
    <row r="22" spans="2:9" ht="16.5" thickTop="1" thickBot="1" x14ac:dyDescent="0.4">
      <c r="B22" s="8" t="s">
        <v>97</v>
      </c>
      <c r="C22" s="9">
        <f>('[6]17_18 fleet_v3'!$D$260+'[6]17_18 fleet_v3'!$D$275+'[6]17_18 fleet_v3'!$D$290+'[6]17_18 fleet_v3'!$D$305)/1000000</f>
        <v>1.38253213</v>
      </c>
      <c r="D22" s="9">
        <f>('[6]17_18 fleet_v3'!$D$380+'[6]17_18 fleet_v3'!$D$395+'[6]17_18 fleet_v3'!$D$410+'[6]17_18 fleet_v3'!$D$425)/1000000</f>
        <v>0.70481245000000003</v>
      </c>
      <c r="E22" s="9">
        <f>('[6]17_18 fleet_v3'!$D$350+'[6]17_18 fleet_v3'!$D$365)/1000000</f>
        <v>62.096704230000007</v>
      </c>
      <c r="F22" s="9">
        <f>('[6]17_18 fleet_v3'!$D$230+'[6]17_18 fleet_v3'!$D$245)/1000000</f>
        <v>4.5024368099999998</v>
      </c>
      <c r="G22" s="9">
        <f>('[6]17_18 fleet_v3'!$D$320+'[6]17_18 fleet_v3'!$D$335)/1000000</f>
        <v>19.600254260000003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35474.174117200004</v>
      </c>
      <c r="D23" s="9">
        <f>D21+D22</f>
        <v>8809.6783326900004</v>
      </c>
      <c r="E23" s="9">
        <f>E22+E21</f>
        <v>3136.6937666899998</v>
      </c>
      <c r="F23" s="9">
        <f>F21+F22</f>
        <v>301.64990019000004</v>
      </c>
      <c r="G23" s="9">
        <f>G21+G22</f>
        <v>413.75141238000003</v>
      </c>
      <c r="H23" s="10"/>
      <c r="I23" s="10"/>
    </row>
    <row r="24" spans="2:9" ht="13" thickTop="1" x14ac:dyDescent="0.25"/>
    <row r="27" spans="2:9" x14ac:dyDescent="0.25">
      <c r="B27" t="s">
        <v>180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workbookViewId="0">
      <selection activeCell="K25" sqref="K25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2017-18 Data'!C6*C$22*$J6</f>
        <v>1440.7185610958193</v>
      </c>
      <c r="D6" s="11">
        <f>'Original 2017-18 Data'!D6*D$22*$J6</f>
        <v>453.9937170355542</v>
      </c>
      <c r="E6" s="11">
        <f>'Original 2017-18 Data'!E6*E$22*$J6</f>
        <v>152.84165002703716</v>
      </c>
      <c r="F6" s="11">
        <f>'Original 2017-18 Data'!F6*F$22*$J6</f>
        <v>12.523240539913349</v>
      </c>
      <c r="G6" s="11">
        <f>'Original 2017-18 Data'!G6*G$22*$J6</f>
        <v>14.401596932513305</v>
      </c>
      <c r="H6" s="11">
        <f>'Original 2017-18 Data'!H6*'Original 2017-18 Data'!$I$20/'Original 2017-18 Data'!$H$21</f>
        <v>2074.4787656308367</v>
      </c>
      <c r="I6" s="11">
        <f>SUM(C6:G6)</f>
        <v>2074.4787656308372</v>
      </c>
      <c r="J6" s="12">
        <v>1.1716401878604583</v>
      </c>
      <c r="K6" s="12">
        <f>J6*H6/I6</f>
        <v>1.1716401878604579</v>
      </c>
    </row>
    <row r="7" spans="2:11" ht="15.5" x14ac:dyDescent="0.35">
      <c r="B7" s="24" t="s">
        <v>1</v>
      </c>
      <c r="C7" s="13">
        <f>'Original 2017-18 Data'!C7*C$22*$J7</f>
        <v>10816.632090439758</v>
      </c>
      <c r="D7" s="13">
        <f>'Original 2017-18 Data'!D7*D$22*$J7</f>
        <v>1913.4715594702416</v>
      </c>
      <c r="E7" s="13">
        <f>'Original 2017-18 Data'!E7*E$22*$J7</f>
        <v>675.39688889813942</v>
      </c>
      <c r="F7" s="13">
        <f>'Original 2017-18 Data'!F7*F$22*$J7</f>
        <v>109.00265974514878</v>
      </c>
      <c r="G7" s="13">
        <f>'Original 2017-18 Data'!G7*G$22*$J7</f>
        <v>99.175813276426354</v>
      </c>
      <c r="H7" s="13">
        <f>'Original 2017-18 Data'!H7*'Original 2017-18 Data'!$I$20/'Original 2017-18 Data'!$H$21</f>
        <v>13613.679011829714</v>
      </c>
      <c r="I7" s="13">
        <f t="shared" ref="I7:I20" si="0">SUM(C7:G7)</f>
        <v>13613.679011829714</v>
      </c>
      <c r="J7" s="14">
        <v>0.89509821829509095</v>
      </c>
      <c r="K7" s="14">
        <f t="shared" ref="K7:K19" si="1">J7*H7/I7</f>
        <v>0.89509821829509084</v>
      </c>
    </row>
    <row r="8" spans="2:11" ht="15.5" x14ac:dyDescent="0.35">
      <c r="B8" s="24" t="s">
        <v>2</v>
      </c>
      <c r="C8" s="13">
        <f>'Original 2017-18 Data'!C8*C$22*$J8</f>
        <v>4602.1468118407038</v>
      </c>
      <c r="D8" s="13">
        <f>'Original 2017-18 Data'!D8*D$22*$J8</f>
        <v>1311.4519667158752</v>
      </c>
      <c r="E8" s="13">
        <f>'Original 2017-18 Data'!E8*E$22*$J8</f>
        <v>471.13710397466707</v>
      </c>
      <c r="F8" s="13">
        <f>'Original 2017-18 Data'!F8*F$22*$J8</f>
        <v>23.356702300965829</v>
      </c>
      <c r="G8" s="13">
        <f>'Original 2017-18 Data'!G8*G$22*$J8</f>
        <v>53.250336718380645</v>
      </c>
      <c r="H8" s="13">
        <f>'Original 2017-18 Data'!H8*'Original 2017-18 Data'!$I$20/'Original 2017-18 Data'!$H$21</f>
        <v>6461.3429215505921</v>
      </c>
      <c r="I8" s="13">
        <f t="shared" si="0"/>
        <v>6461.342921550593</v>
      </c>
      <c r="J8" s="14">
        <v>1.3437617715163286</v>
      </c>
      <c r="K8" s="14">
        <f t="shared" si="1"/>
        <v>1.3437617715163284</v>
      </c>
    </row>
    <row r="9" spans="2:11" ht="15.5" x14ac:dyDescent="0.35">
      <c r="B9" s="24" t="s">
        <v>3</v>
      </c>
      <c r="C9" s="13">
        <f>'Original 2017-18 Data'!C9*C$22*$J9</f>
        <v>2301.3888319976277</v>
      </c>
      <c r="D9" s="13">
        <f>'Original 2017-18 Data'!D9*D$22*$J9</f>
        <v>694.64937868256982</v>
      </c>
      <c r="E9" s="13">
        <f>'Original 2017-18 Data'!E9*E$22*$J9</f>
        <v>269.99541385557558</v>
      </c>
      <c r="F9" s="13">
        <f>'Original 2017-18 Data'!F9*F$22*$J9</f>
        <v>15.878220179345071</v>
      </c>
      <c r="G9" s="13">
        <f>'Original 2017-18 Data'!G9*G$22*$J9</f>
        <v>30.655370791123211</v>
      </c>
      <c r="H9" s="13">
        <f>'Original 2017-18 Data'!H9*'Original 2017-18 Data'!$I$20/'Original 2017-18 Data'!$H$21</f>
        <v>3312.5672155062412</v>
      </c>
      <c r="I9" s="13">
        <f t="shared" si="0"/>
        <v>3312.5672155062412</v>
      </c>
      <c r="J9" s="14">
        <v>0.90656039143842315</v>
      </c>
      <c r="K9" s="14">
        <f t="shared" si="1"/>
        <v>0.90656039143842315</v>
      </c>
    </row>
    <row r="10" spans="2:11" ht="15.5" x14ac:dyDescent="0.35">
      <c r="B10" s="24" t="s">
        <v>4</v>
      </c>
      <c r="C10" s="13">
        <f>'Original 2017-18 Data'!C10*C$22*$J10</f>
        <v>256.75715462575266</v>
      </c>
      <c r="D10" s="13">
        <f>'Original 2017-18 Data'!D10*D$22*$J10</f>
        <v>125.6171589905223</v>
      </c>
      <c r="E10" s="13">
        <f>'Original 2017-18 Data'!E10*E$22*$J10</f>
        <v>31.123110973246689</v>
      </c>
      <c r="F10" s="13">
        <f>'Original 2017-18 Data'!F10*F$22*$J10</f>
        <v>1.4214367800522809</v>
      </c>
      <c r="G10" s="13">
        <f>'Original 2017-18 Data'!G10*G$22*$J10</f>
        <v>3.3228252495464452</v>
      </c>
      <c r="H10" s="13">
        <f>'Original 2017-18 Data'!H10*'Original 2017-18 Data'!$I$20/'Original 2017-18 Data'!$H$21</f>
        <v>418.2416866191204</v>
      </c>
      <c r="I10" s="13">
        <f t="shared" si="0"/>
        <v>418.24168661912034</v>
      </c>
      <c r="J10" s="14">
        <v>1.1085469899906182</v>
      </c>
      <c r="K10" s="14">
        <f t="shared" si="1"/>
        <v>1.1085469899906184</v>
      </c>
    </row>
    <row r="11" spans="2:11" ht="15.5" x14ac:dyDescent="0.35">
      <c r="B11" s="24" t="s">
        <v>5</v>
      </c>
      <c r="C11" s="13">
        <f>'Original 2017-18 Data'!C11*C$22*$J11</f>
        <v>1180.4116005248434</v>
      </c>
      <c r="D11" s="13">
        <f>'Original 2017-18 Data'!D11*D$22*$J11</f>
        <v>359.85898396227537</v>
      </c>
      <c r="E11" s="13">
        <f>'Original 2017-18 Data'!E11*E$22*$J11</f>
        <v>114.7473871751812</v>
      </c>
      <c r="F11" s="13">
        <f>'Original 2017-18 Data'!F11*F$22*$J11</f>
        <v>5.7064929489372167</v>
      </c>
      <c r="G11" s="13">
        <f>'Original 2017-18 Data'!G11*G$22*$J11</f>
        <v>14.299886207325903</v>
      </c>
      <c r="H11" s="13">
        <f>'Original 2017-18 Data'!H11*'Original 2017-18 Data'!$I$20/'Original 2017-18 Data'!$H$21</f>
        <v>1675.0243508185631</v>
      </c>
      <c r="I11" s="13">
        <f t="shared" si="0"/>
        <v>1675.0243508185633</v>
      </c>
      <c r="J11" s="14">
        <v>1.0777880359671723</v>
      </c>
      <c r="K11" s="14">
        <f t="shared" si="1"/>
        <v>1.0777880359671721</v>
      </c>
    </row>
    <row r="12" spans="2:11" ht="15.5" x14ac:dyDescent="0.35">
      <c r="B12" s="24" t="s">
        <v>6</v>
      </c>
      <c r="C12" s="13">
        <f>'Original 2017-18 Data'!C12*C$22*$J12</f>
        <v>838.90233374538877</v>
      </c>
      <c r="D12" s="13">
        <f>'Original 2017-18 Data'!D12*D$22*$J12</f>
        <v>232.5450518349019</v>
      </c>
      <c r="E12" s="13">
        <f>'Original 2017-18 Data'!E12*E$22*$J12</f>
        <v>100.47075899772253</v>
      </c>
      <c r="F12" s="13">
        <f>'Original 2017-18 Data'!F12*F$22*$J12</f>
        <v>3.4598368616574886</v>
      </c>
      <c r="G12" s="13">
        <f>'Original 2017-18 Data'!G12*G$22*$J12</f>
        <v>13.307284785148687</v>
      </c>
      <c r="H12" s="13">
        <f>'Original 2017-18 Data'!H12*'Original 2017-18 Data'!$I$20/'Original 2017-18 Data'!$H$21</f>
        <v>1188.6852662248193</v>
      </c>
      <c r="I12" s="13">
        <f t="shared" si="0"/>
        <v>1188.6852662248195</v>
      </c>
      <c r="J12" s="14">
        <v>1.0345967648602035</v>
      </c>
      <c r="K12" s="14">
        <f t="shared" si="1"/>
        <v>1.0345967648602032</v>
      </c>
    </row>
    <row r="13" spans="2:11" ht="15.5" x14ac:dyDescent="0.35">
      <c r="B13" s="24" t="s">
        <v>7</v>
      </c>
      <c r="C13" s="13">
        <f>'Original 2017-18 Data'!C13*C$22*$J13</f>
        <v>1833.3744404376243</v>
      </c>
      <c r="D13" s="13">
        <f>'Original 2017-18 Data'!D13*D$22*$J13</f>
        <v>557.49249919302724</v>
      </c>
      <c r="E13" s="13">
        <f>'Original 2017-18 Data'!E13*E$22*$J13</f>
        <v>225.54308306091897</v>
      </c>
      <c r="F13" s="13">
        <f>'Original 2017-18 Data'!F13*F$22*$J13</f>
        <v>10.283034094080584</v>
      </c>
      <c r="G13" s="13">
        <f>'Original 2017-18 Data'!G13*G$22*$J13</f>
        <v>25.889811207649004</v>
      </c>
      <c r="H13" s="13">
        <f>'Original 2017-18 Data'!H13*'Original 2017-18 Data'!$I$20/'Original 2017-18 Data'!$H$21</f>
        <v>2652.5828679932997</v>
      </c>
      <c r="I13" s="13">
        <f t="shared" si="0"/>
        <v>2652.5828679932997</v>
      </c>
      <c r="J13" s="14">
        <v>1.1340415778150428</v>
      </c>
      <c r="K13" s="14">
        <f t="shared" si="1"/>
        <v>1.1340415778150428</v>
      </c>
    </row>
    <row r="14" spans="2:11" ht="15.5" x14ac:dyDescent="0.35">
      <c r="B14" s="24" t="s">
        <v>8</v>
      </c>
      <c r="C14" s="13">
        <f>'Original 2017-18 Data'!C14*C$22*$J14</f>
        <v>3027.7308500526447</v>
      </c>
      <c r="D14" s="13">
        <f>'Original 2017-18 Data'!D14*D$22*$J14</f>
        <v>568.80408858309488</v>
      </c>
      <c r="E14" s="13">
        <f>'Original 2017-18 Data'!E14*E$22*$J14</f>
        <v>168.49557106203835</v>
      </c>
      <c r="F14" s="13">
        <f>'Original 2017-18 Data'!F14*F$22*$J14</f>
        <v>22.176166107367976</v>
      </c>
      <c r="G14" s="13">
        <f>'Original 2017-18 Data'!G14*G$22*$J14</f>
        <v>45.231337266552593</v>
      </c>
      <c r="H14" s="13">
        <f>'Original 2017-18 Data'!H14*'Original 2017-18 Data'!$I$20/'Original 2017-18 Data'!$H$21</f>
        <v>3832.4380130716982</v>
      </c>
      <c r="I14" s="13">
        <f t="shared" si="0"/>
        <v>3832.4380130716982</v>
      </c>
      <c r="J14" s="14">
        <v>0.9276916925606602</v>
      </c>
      <c r="K14" s="14">
        <f t="shared" si="1"/>
        <v>0.9276916925606602</v>
      </c>
    </row>
    <row r="15" spans="2:11" ht="15.5" x14ac:dyDescent="0.35">
      <c r="B15" s="24" t="s">
        <v>9</v>
      </c>
      <c r="C15" s="13">
        <f>'Original 2017-18 Data'!C15*C$22*$J15</f>
        <v>1124.1591506139637</v>
      </c>
      <c r="D15" s="13">
        <f>'Original 2017-18 Data'!D15*D$22*$J15</f>
        <v>347.16582322518303</v>
      </c>
      <c r="E15" s="13">
        <f>'Original 2017-18 Data'!E15*E$22*$J15</f>
        <v>106.80888803286599</v>
      </c>
      <c r="F15" s="13">
        <f>'Original 2017-18 Data'!F15*F$22*$J15</f>
        <v>7.1968530543176366</v>
      </c>
      <c r="G15" s="13">
        <f>'Original 2017-18 Data'!G15*G$22*$J15</f>
        <v>19.807466303638993</v>
      </c>
      <c r="H15" s="13">
        <f>'Original 2017-18 Data'!H15*'Original 2017-18 Data'!$I$20/'Original 2017-18 Data'!$H$21</f>
        <v>1605.1381812299692</v>
      </c>
      <c r="I15" s="13">
        <f t="shared" si="0"/>
        <v>1605.1381812299694</v>
      </c>
      <c r="J15" s="14">
        <v>0.95767280798536014</v>
      </c>
      <c r="K15" s="14">
        <f t="shared" si="1"/>
        <v>0.95767280798536003</v>
      </c>
    </row>
    <row r="16" spans="2:11" ht="15.5" x14ac:dyDescent="0.35">
      <c r="B16" s="24" t="s">
        <v>10</v>
      </c>
      <c r="C16" s="13">
        <f>'Original 2017-18 Data'!C16*C$22*$J16</f>
        <v>400.66073518180406</v>
      </c>
      <c r="D16" s="13">
        <f>'Original 2017-18 Data'!D16*D$22*$J16</f>
        <v>150.9418551294811</v>
      </c>
      <c r="E16" s="13">
        <f>'Original 2017-18 Data'!E16*E$22*$J16</f>
        <v>59.951318587317708</v>
      </c>
      <c r="F16" s="13">
        <f>'Original 2017-18 Data'!F16*F$22*$J16</f>
        <v>3.1258663149864989</v>
      </c>
      <c r="G16" s="13">
        <f>'Original 2017-18 Data'!G16*G$22*$J16</f>
        <v>7.7300286856583789</v>
      </c>
      <c r="H16" s="13">
        <f>'Original 2017-18 Data'!H16*'Original 2017-18 Data'!$I$20/'Original 2017-18 Data'!$H$21</f>
        <v>622.40980389924766</v>
      </c>
      <c r="I16" s="13">
        <f t="shared" si="0"/>
        <v>622.40980389924778</v>
      </c>
      <c r="J16" s="14">
        <v>1.8617548023458799</v>
      </c>
      <c r="K16" s="14">
        <f t="shared" si="1"/>
        <v>1.8617548023458794</v>
      </c>
    </row>
    <row r="17" spans="2:11" ht="15.5" x14ac:dyDescent="0.35">
      <c r="B17" s="24" t="s">
        <v>11</v>
      </c>
      <c r="C17" s="13">
        <f>'Original 2017-18 Data'!C17*C$22*$J17</f>
        <v>4823.9486231007304</v>
      </c>
      <c r="D17" s="13">
        <f>'Original 2017-18 Data'!D17*D$22*$J17</f>
        <v>1247.0372948746081</v>
      </c>
      <c r="E17" s="13">
        <f>'Original 2017-18 Data'!E17*E$22*$J17</f>
        <v>456.16902527493852</v>
      </c>
      <c r="F17" s="13">
        <f>'Original 2017-18 Data'!F17*F$22*$J17</f>
        <v>59.147801355373758</v>
      </c>
      <c r="G17" s="13">
        <f>'Original 2017-18 Data'!G17*G$22*$J17</f>
        <v>59.883356961998771</v>
      </c>
      <c r="H17" s="13">
        <f>'Original 2017-18 Data'!H17*'Original 2017-18 Data'!$I$20/'Original 2017-18 Data'!$H$21</f>
        <v>6646.1861015676495</v>
      </c>
      <c r="I17" s="13">
        <f t="shared" si="0"/>
        <v>6646.1861015676504</v>
      </c>
      <c r="J17" s="14">
        <v>0.97619045468091303</v>
      </c>
      <c r="K17" s="14">
        <f t="shared" si="1"/>
        <v>0.97619045468091281</v>
      </c>
    </row>
    <row r="18" spans="2:11" ht="15.5" x14ac:dyDescent="0.35">
      <c r="B18" s="24" t="s">
        <v>12</v>
      </c>
      <c r="C18" s="13">
        <f>'Original 2017-18 Data'!C18*C$22*$J18</f>
        <v>1986.6284529219033</v>
      </c>
      <c r="D18" s="13">
        <f>'Original 2017-18 Data'!D18*D$22*$J18</f>
        <v>519.73058842775254</v>
      </c>
      <c r="E18" s="13">
        <f>'Original 2017-18 Data'!E18*E$22*$J18</f>
        <v>180.6775115923906</v>
      </c>
      <c r="F18" s="13">
        <f>'Original 2017-18 Data'!F18*F$22*$J18</f>
        <v>19.331947513340477</v>
      </c>
      <c r="G18" s="13">
        <f>'Original 2017-18 Data'!G18*G$22*$J18</f>
        <v>17.630815732679078</v>
      </c>
      <c r="H18" s="13">
        <f>'Original 2017-18 Data'!H18*'Original 2017-18 Data'!$I$20/'Original 2017-18 Data'!$H$21</f>
        <v>2723.9993161880657</v>
      </c>
      <c r="I18" s="13">
        <f t="shared" si="0"/>
        <v>2723.9993161880657</v>
      </c>
      <c r="J18" s="14">
        <v>0.85480427211242116</v>
      </c>
      <c r="K18" s="14">
        <f t="shared" si="1"/>
        <v>0.85480427211242116</v>
      </c>
    </row>
    <row r="19" spans="2:11" ht="16" thickBot="1" x14ac:dyDescent="0.4">
      <c r="B19" s="25" t="s">
        <v>13</v>
      </c>
      <c r="C19" s="15">
        <f>'Original 2017-18 Data'!C19*C$22*$J19</f>
        <v>840.68267202691015</v>
      </c>
      <c r="D19" s="15">
        <f>'Original 2017-18 Data'!D19*D$22*$J19</f>
        <v>326.94153025683795</v>
      </c>
      <c r="E19" s="15">
        <f>'Original 2017-18 Data'!E19*E$22*$J19</f>
        <v>123.34530767264916</v>
      </c>
      <c r="F19" s="15">
        <f>'Original 2017-18 Data'!F19*F$22*$J19</f>
        <v>9.0388259168493583</v>
      </c>
      <c r="G19" s="15">
        <f>'Original 2017-18 Data'!G19*G$22*$J19</f>
        <v>9.1656911469397109</v>
      </c>
      <c r="H19" s="15">
        <f>'Original 2017-18 Data'!H19*'Original 2017-18 Data'!$I$20/'Original 2017-18 Data'!$H$21</f>
        <v>1309.1740270201865</v>
      </c>
      <c r="I19" s="15">
        <f t="shared" si="0"/>
        <v>1309.1740270201865</v>
      </c>
      <c r="J19" s="16">
        <v>1.1452146655140114</v>
      </c>
      <c r="K19" s="16">
        <f t="shared" si="1"/>
        <v>1.1452146655140114</v>
      </c>
    </row>
    <row r="20" spans="2:11" ht="32.25" customHeight="1" thickTop="1" thickBot="1" x14ac:dyDescent="0.4">
      <c r="B20" s="20" t="s">
        <v>20</v>
      </c>
      <c r="C20" s="4">
        <f>'Original 2017-18 Data'!C20</f>
        <v>35474.174117200004</v>
      </c>
      <c r="D20" s="4">
        <f>'Original 2017-18 Data'!D20</f>
        <v>8809.6783326900004</v>
      </c>
      <c r="E20" s="4">
        <f>'Original 2017-18 Data'!E20</f>
        <v>3136.6937666900008</v>
      </c>
      <c r="F20" s="4">
        <f>'Original 2017-18 Data'!F20</f>
        <v>301.64990018999993</v>
      </c>
      <c r="G20" s="4">
        <f>'Original 2017-18 Data'!G20</f>
        <v>413.75141237999998</v>
      </c>
      <c r="H20" s="5"/>
      <c r="I20" s="9">
        <f t="shared" si="0"/>
        <v>48135.947529150006</v>
      </c>
    </row>
    <row r="21" spans="2:11" ht="32" thickTop="1" thickBot="1" x14ac:dyDescent="0.4">
      <c r="B21" s="31" t="s">
        <v>23</v>
      </c>
      <c r="C21" s="9">
        <f t="shared" ref="C21:H21" si="2">SUM(C6:C19)</f>
        <v>35474.142308605471</v>
      </c>
      <c r="D21" s="9">
        <f t="shared" si="2"/>
        <v>8809.7014963819256</v>
      </c>
      <c r="E21" s="9">
        <f t="shared" si="2"/>
        <v>3136.7030191846889</v>
      </c>
      <c r="F21" s="9">
        <f t="shared" si="2"/>
        <v>301.64908371233633</v>
      </c>
      <c r="G21" s="9">
        <f t="shared" si="2"/>
        <v>413.75162126558104</v>
      </c>
      <c r="H21" s="9">
        <f t="shared" si="2"/>
        <v>48135.947529149991</v>
      </c>
      <c r="I21" s="6"/>
    </row>
    <row r="22" spans="2:11" ht="16.5" thickTop="1" thickBot="1" x14ac:dyDescent="0.4">
      <c r="B22" s="8" t="s">
        <v>16</v>
      </c>
      <c r="C22" s="10">
        <v>1.0059616472938204</v>
      </c>
      <c r="D22" s="10">
        <v>0.98293567190377362</v>
      </c>
      <c r="E22" s="10">
        <v>1.0003586941240401</v>
      </c>
      <c r="F22" s="10">
        <v>1.0450983543058288</v>
      </c>
      <c r="G22" s="10">
        <v>1.0454249863845149</v>
      </c>
      <c r="H22" s="17"/>
    </row>
    <row r="23" spans="2:11" ht="16.5" thickTop="1" thickBot="1" x14ac:dyDescent="0.4">
      <c r="B23" s="8" t="s">
        <v>17</v>
      </c>
      <c r="C23" s="10">
        <f>C22*C20/C21</f>
        <v>1.0059625493093189</v>
      </c>
      <c r="D23" s="10">
        <f>D22*D20/D21</f>
        <v>0.98293308743265451</v>
      </c>
      <c r="E23" s="10">
        <f>E22*E20/E21</f>
        <v>1.000355743314401</v>
      </c>
      <c r="F23" s="10">
        <f>F22*F20/F21</f>
        <v>1.0451011830877102</v>
      </c>
      <c r="G23" s="10">
        <f>G22*G20/G21</f>
        <v>1.0454244585939407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C2:U143"/>
  <sheetViews>
    <sheetView zoomScale="90" zoomScaleNormal="90" workbookViewId="0">
      <selection activeCell="I1" sqref="I1"/>
    </sheetView>
  </sheetViews>
  <sheetFormatPr defaultRowHeight="12.5" x14ac:dyDescent="0.25"/>
  <cols>
    <col min="3" max="3" width="27.81640625" customWidth="1"/>
    <col min="4" max="17" width="17.81640625" customWidth="1"/>
  </cols>
  <sheetData>
    <row r="2" spans="3:17" x14ac:dyDescent="0.25">
      <c r="C2" s="174" t="b">
        <v>1</v>
      </c>
      <c r="D2" t="s">
        <v>138</v>
      </c>
    </row>
    <row r="3" spans="3:17" x14ac:dyDescent="0.25">
      <c r="C3" s="174" t="b">
        <v>1</v>
      </c>
      <c r="D3" t="s">
        <v>139</v>
      </c>
    </row>
    <row r="4" spans="3:17" x14ac:dyDescent="0.25">
      <c r="C4" s="174" t="b">
        <v>1</v>
      </c>
      <c r="D4" t="s">
        <v>140</v>
      </c>
    </row>
    <row r="6" spans="3:17" ht="13" thickBot="1" x14ac:dyDescent="0.3"/>
    <row r="7" spans="3:17" ht="16" thickTop="1" x14ac:dyDescent="0.35">
      <c r="C7" s="32" t="s">
        <v>141</v>
      </c>
      <c r="D7" s="34"/>
      <c r="E7" s="33"/>
      <c r="F7" s="33"/>
      <c r="G7" s="33"/>
      <c r="H7" s="33"/>
      <c r="I7" s="34"/>
      <c r="J7" s="34"/>
      <c r="K7" s="34"/>
      <c r="L7" s="34"/>
      <c r="M7" s="34"/>
      <c r="N7" s="34"/>
      <c r="O7" s="34"/>
      <c r="P7" s="34"/>
      <c r="Q7" s="35"/>
    </row>
    <row r="8" spans="3:17" ht="13.5" thickBot="1" x14ac:dyDescent="0.35">
      <c r="C8" s="18"/>
      <c r="D8" s="65" t="s">
        <v>25</v>
      </c>
      <c r="E8" s="65" t="s">
        <v>37</v>
      </c>
      <c r="F8" s="65" t="s">
        <v>38</v>
      </c>
      <c r="G8" s="37" t="s">
        <v>177</v>
      </c>
      <c r="H8" s="37" t="s">
        <v>178</v>
      </c>
      <c r="I8" s="65" t="s">
        <v>26</v>
      </c>
      <c r="J8" s="65" t="s">
        <v>27</v>
      </c>
      <c r="K8" s="65" t="s">
        <v>28</v>
      </c>
      <c r="L8" s="65" t="s">
        <v>29</v>
      </c>
      <c r="M8" s="65" t="s">
        <v>30</v>
      </c>
      <c r="N8" s="65" t="s">
        <v>31</v>
      </c>
      <c r="O8" s="37" t="s">
        <v>174</v>
      </c>
      <c r="P8" s="37" t="s">
        <v>175</v>
      </c>
      <c r="Q8" s="38" t="s">
        <v>176</v>
      </c>
    </row>
    <row r="9" spans="3:17" ht="14" thickTop="1" thickBot="1" x14ac:dyDescent="0.35">
      <c r="C9" s="70"/>
      <c r="D9" s="71" t="s">
        <v>39</v>
      </c>
      <c r="E9" s="71" t="s">
        <v>39</v>
      </c>
      <c r="F9" s="71" t="s">
        <v>39</v>
      </c>
      <c r="G9" s="65" t="s">
        <v>39</v>
      </c>
      <c r="H9" s="65" t="s">
        <v>39</v>
      </c>
      <c r="I9" s="71" t="s">
        <v>39</v>
      </c>
      <c r="J9" s="71" t="s">
        <v>32</v>
      </c>
      <c r="K9" s="71" t="s">
        <v>32</v>
      </c>
      <c r="L9" s="71" t="s">
        <v>32</v>
      </c>
      <c r="M9" s="71" t="s">
        <v>32</v>
      </c>
      <c r="N9" s="71" t="s">
        <v>32</v>
      </c>
      <c r="O9" s="65" t="s">
        <v>32</v>
      </c>
      <c r="P9" s="65" t="s">
        <v>32</v>
      </c>
      <c r="Q9" s="66" t="s">
        <v>32</v>
      </c>
    </row>
    <row r="10" spans="3:17" ht="16" thickTop="1" x14ac:dyDescent="0.35">
      <c r="C10" s="24" t="s">
        <v>0</v>
      </c>
      <c r="D10" s="79">
        <f ca="1">('Light Vehicle Supporting Data'!D47+'Light Vehicle Supporting Data'!D68)/'Light Vehicle Supporting Data'!D47</f>
        <v>1.6587105725502904</v>
      </c>
      <c r="E10" s="80">
        <f ca="1">('Light Vehicle Supporting Data'!E47+'Light Vehicle Supporting Data'!E68)/'Light Vehicle Supporting Data'!E47</f>
        <v>1.6534613068208053</v>
      </c>
      <c r="F10" s="80">
        <f ca="1">('Light Vehicle Supporting Data'!F47+'Light Vehicle Supporting Data'!F68)/'Light Vehicle Supporting Data'!F47</f>
        <v>1.6484174911379252</v>
      </c>
      <c r="G10" s="80">
        <f ca="1">('Light Vehicle Supporting Data'!G47+'Light Vehicle Supporting Data'!G68)/'Light Vehicle Supporting Data'!G47</f>
        <v>1.6435672954022729</v>
      </c>
      <c r="H10" s="80">
        <f ca="1">('Light Vehicle Supporting Data'!H47+'Light Vehicle Supporting Data'!H68)/'Light Vehicle Supporting Data'!H47</f>
        <v>1.6388997806679484</v>
      </c>
      <c r="I10" s="80">
        <f ca="1">('Light Vehicle Supporting Data'!I47+'Light Vehicle Supporting Data'!I68)/'Light Vehicle Supporting Data'!I47</f>
        <v>1.6344048167810938</v>
      </c>
      <c r="J10" s="80">
        <f ca="1">('Light Vehicle Supporting Data'!J47+'Light Vehicle Supporting Data'!J68)/'Light Vehicle Supporting Data'!J47</f>
        <v>1.6214213067309455</v>
      </c>
      <c r="K10" s="80">
        <f ca="1">('Light Vehicle Supporting Data'!K47+'Light Vehicle Supporting Data'!K68)/'Light Vehicle Supporting Data'!K47</f>
        <v>1.6091195552559905</v>
      </c>
      <c r="L10" s="80">
        <f ca="1">('Light Vehicle Supporting Data'!L47+'Light Vehicle Supporting Data'!L68)/'Light Vehicle Supporting Data'!L47</f>
        <v>1.5962369357406434</v>
      </c>
      <c r="M10" s="80">
        <f ca="1">('Light Vehicle Supporting Data'!M47+'Light Vehicle Supporting Data'!M68)/'Light Vehicle Supporting Data'!M47</f>
        <v>1.5862886441718034</v>
      </c>
      <c r="N10" s="80">
        <f ca="1">('Light Vehicle Supporting Data'!N47+'Light Vehicle Supporting Data'!N68)/'Light Vehicle Supporting Data'!N47</f>
        <v>1.5764317958132725</v>
      </c>
      <c r="O10" s="156">
        <f ca="1">('Light Vehicle Supporting Data'!O47+'Light Vehicle Supporting Data'!O68)/'Light Vehicle Supporting Data'!O47</f>
        <v>1.5767150889416892</v>
      </c>
      <c r="P10" s="156">
        <f ca="1">('Light Vehicle Supporting Data'!P47+'Light Vehicle Supporting Data'!P68)/'Light Vehicle Supporting Data'!P47</f>
        <v>1.5769993145022327</v>
      </c>
      <c r="Q10" s="157">
        <f ca="1">('Light Vehicle Supporting Data'!Q47+'Light Vehicle Supporting Data'!Q68)/'Light Vehicle Supporting Data'!Q47</f>
        <v>1.5772842907680786</v>
      </c>
    </row>
    <row r="11" spans="3:17" ht="15.5" x14ac:dyDescent="0.35">
      <c r="C11" s="24" t="s">
        <v>1</v>
      </c>
      <c r="D11" s="81">
        <f ca="1">('Light Vehicle Supporting Data'!D48+'Light Vehicle Supporting Data'!D69)/'Light Vehicle Supporting Data'!D48</f>
        <v>1.5135908407438097</v>
      </c>
      <c r="E11" s="82">
        <f ca="1">('Light Vehicle Supporting Data'!E48+'Light Vehicle Supporting Data'!E69)/'Light Vehicle Supporting Data'!E48</f>
        <v>1.5090257328210044</v>
      </c>
      <c r="F11" s="82">
        <f ca="1">('Light Vehicle Supporting Data'!F48+'Light Vehicle Supporting Data'!F69)/'Light Vehicle Supporting Data'!F48</f>
        <v>1.5046779018517182</v>
      </c>
      <c r="G11" s="82">
        <f ca="1">('Light Vehicle Supporting Data'!G48+'Light Vehicle Supporting Data'!G69)/'Light Vehicle Supporting Data'!G48</f>
        <v>1.5005321964122875</v>
      </c>
      <c r="H11" s="82">
        <f ca="1">('Light Vehicle Supporting Data'!H48+'Light Vehicle Supporting Data'!H69)/'Light Vehicle Supporting Data'!H48</f>
        <v>1.4965748418210971</v>
      </c>
      <c r="I11" s="82">
        <f ca="1">('Light Vehicle Supporting Data'!I48+'Light Vehicle Supporting Data'!I69)/'Light Vehicle Supporting Data'!I48</f>
        <v>1.4927932872389222</v>
      </c>
      <c r="J11" s="82">
        <f ca="1">('Light Vehicle Supporting Data'!J48+'Light Vehicle Supporting Data'!J69)/'Light Vehicle Supporting Data'!J48</f>
        <v>1.4760143186271315</v>
      </c>
      <c r="K11" s="82">
        <f ca="1">('Light Vehicle Supporting Data'!K48+'Light Vehicle Supporting Data'!K69)/'Light Vehicle Supporting Data'!K48</f>
        <v>1.4601906091546883</v>
      </c>
      <c r="L11" s="82">
        <f ca="1">('Light Vehicle Supporting Data'!L48+'Light Vehicle Supporting Data'!L69)/'Light Vehicle Supporting Data'!L48</f>
        <v>1.4470690585564743</v>
      </c>
      <c r="M11" s="82">
        <f ca="1">('Light Vehicle Supporting Data'!M48+'Light Vehicle Supporting Data'!M69)/'Light Vehicle Supporting Data'!M48</f>
        <v>1.4362059342045015</v>
      </c>
      <c r="N11" s="82">
        <f ca="1">('Light Vehicle Supporting Data'!N48+'Light Vehicle Supporting Data'!N69)/'Light Vehicle Supporting Data'!N48</f>
        <v>1.4253465923163608</v>
      </c>
      <c r="O11" s="159">
        <f ca="1">('Light Vehicle Supporting Data'!O48+'Light Vehicle Supporting Data'!O69)/'Light Vehicle Supporting Data'!O48</f>
        <v>1.4232557345862134</v>
      </c>
      <c r="P11" s="159">
        <f ca="1">('Light Vehicle Supporting Data'!P48+'Light Vehicle Supporting Data'!P69)/'Light Vehicle Supporting Data'!P48</f>
        <v>1.421012524781947</v>
      </c>
      <c r="Q11" s="160">
        <f ca="1">('Light Vehicle Supporting Data'!Q48+'Light Vehicle Supporting Data'!Q69)/'Light Vehicle Supporting Data'!Q48</f>
        <v>1.4184851455474337</v>
      </c>
    </row>
    <row r="12" spans="3:17" ht="15.5" x14ac:dyDescent="0.35">
      <c r="C12" s="24" t="s">
        <v>2</v>
      </c>
      <c r="D12" s="81">
        <f ca="1">('Light Vehicle Supporting Data'!D49+'Light Vehicle Supporting Data'!D70)/'Light Vehicle Supporting Data'!D49</f>
        <v>1.5269744114686463</v>
      </c>
      <c r="E12" s="82">
        <f ca="1">('Light Vehicle Supporting Data'!E49+'Light Vehicle Supporting Data'!E70)/'Light Vehicle Supporting Data'!E49</f>
        <v>1.5227371874402222</v>
      </c>
      <c r="F12" s="82">
        <f ca="1">('Light Vehicle Supporting Data'!F49+'Light Vehicle Supporting Data'!F70)/'Light Vehicle Supporting Data'!F49</f>
        <v>1.5186855319630836</v>
      </c>
      <c r="G12" s="82">
        <f ca="1">('Light Vehicle Supporting Data'!G49+'Light Vehicle Supporting Data'!G70)/'Light Vehicle Supporting Data'!G49</f>
        <v>1.5148075158382055</v>
      </c>
      <c r="H12" s="82">
        <f ca="1">('Light Vehicle Supporting Data'!H49+'Light Vehicle Supporting Data'!H70)/'Light Vehicle Supporting Data'!H49</f>
        <v>1.5110922109011538</v>
      </c>
      <c r="I12" s="82">
        <f ca="1">('Light Vehicle Supporting Data'!I49+'Light Vehicle Supporting Data'!I70)/'Light Vehicle Supporting Data'!I49</f>
        <v>1.5075295871777847</v>
      </c>
      <c r="J12" s="82">
        <f ca="1">('Light Vehicle Supporting Data'!J49+'Light Vehicle Supporting Data'!J70)/'Light Vehicle Supporting Data'!J49</f>
        <v>1.4969937332671521</v>
      </c>
      <c r="K12" s="82">
        <f ca="1">('Light Vehicle Supporting Data'!K49+'Light Vehicle Supporting Data'!K70)/'Light Vehicle Supporting Data'!K49</f>
        <v>1.4870066702966156</v>
      </c>
      <c r="L12" s="82">
        <f ca="1">('Light Vehicle Supporting Data'!L49+'Light Vehicle Supporting Data'!L70)/'Light Vehicle Supporting Data'!L49</f>
        <v>1.4765509869274094</v>
      </c>
      <c r="M12" s="82">
        <f ca="1">('Light Vehicle Supporting Data'!M49+'Light Vehicle Supporting Data'!M70)/'Light Vehicle Supporting Data'!M49</f>
        <v>1.4684292275023607</v>
      </c>
      <c r="N12" s="82">
        <f ca="1">('Light Vehicle Supporting Data'!N49+'Light Vehicle Supporting Data'!N70)/'Light Vehicle Supporting Data'!N49</f>
        <v>1.4603696532669743</v>
      </c>
      <c r="O12" s="159">
        <f ca="1">('Light Vehicle Supporting Data'!O49+'Light Vehicle Supporting Data'!O70)/'Light Vehicle Supporting Data'!O49</f>
        <v>1.4605978076024413</v>
      </c>
      <c r="P12" s="159">
        <f ca="1">('Light Vehicle Supporting Data'!P49+'Light Vehicle Supporting Data'!P70)/'Light Vehicle Supporting Data'!P49</f>
        <v>1.4608266991879117</v>
      </c>
      <c r="Q12" s="160">
        <f ca="1">('Light Vehicle Supporting Data'!Q49+'Light Vehicle Supporting Data'!Q70)/'Light Vehicle Supporting Data'!Q49</f>
        <v>1.4610561817641874</v>
      </c>
    </row>
    <row r="13" spans="3:17" ht="15.5" x14ac:dyDescent="0.35">
      <c r="C13" s="24" t="s">
        <v>3</v>
      </c>
      <c r="D13" s="81">
        <f ca="1">('Light Vehicle Supporting Data'!D50+'Light Vehicle Supporting Data'!D71)/'Light Vehicle Supporting Data'!D50</f>
        <v>1.7024241867236372</v>
      </c>
      <c r="E13" s="82">
        <f ca="1">('Light Vehicle Supporting Data'!E50+'Light Vehicle Supporting Data'!E71)/'Light Vehicle Supporting Data'!E50</f>
        <v>1.6968424944142322</v>
      </c>
      <c r="F13" s="82">
        <f ca="1">('Light Vehicle Supporting Data'!F50+'Light Vehicle Supporting Data'!F71)/'Light Vehicle Supporting Data'!F50</f>
        <v>1.6914710140592455</v>
      </c>
      <c r="G13" s="82">
        <f ca="1">('Light Vehicle Supporting Data'!G50+'Light Vehicle Supporting Data'!G71)/'Light Vehicle Supporting Data'!G50</f>
        <v>1.6862980899615121</v>
      </c>
      <c r="H13" s="82">
        <f ca="1">('Light Vehicle Supporting Data'!H50+'Light Vehicle Supporting Data'!H71)/'Light Vehicle Supporting Data'!H50</f>
        <v>1.6813129124899506</v>
      </c>
      <c r="I13" s="82">
        <f ca="1">('Light Vehicle Supporting Data'!I50+'Light Vehicle Supporting Data'!I71)/'Light Vehicle Supporting Data'!I50</f>
        <v>1.6765054426798287</v>
      </c>
      <c r="J13" s="82">
        <f ca="1">('Light Vehicle Supporting Data'!J50+'Light Vehicle Supporting Data'!J71)/'Light Vehicle Supporting Data'!J50</f>
        <v>1.6626178385216754</v>
      </c>
      <c r="K13" s="82">
        <f ca="1">('Light Vehicle Supporting Data'!K50+'Light Vehicle Supporting Data'!K71)/'Light Vehicle Supporting Data'!K50</f>
        <v>1.6494547955587675</v>
      </c>
      <c r="L13" s="82">
        <f ca="1">('Light Vehicle Supporting Data'!L50+'Light Vehicle Supporting Data'!L71)/'Light Vehicle Supporting Data'!L50</f>
        <v>1.6356667877403521</v>
      </c>
      <c r="M13" s="82">
        <f ca="1">('Light Vehicle Supporting Data'!M50+'Light Vehicle Supporting Data'!M71)/'Light Vehicle Supporting Data'!M50</f>
        <v>1.6250002047777525</v>
      </c>
      <c r="N13" s="82">
        <f ca="1">('Light Vehicle Supporting Data'!N50+'Light Vehicle Supporting Data'!N71)/'Light Vehicle Supporting Data'!N50</f>
        <v>1.6144236722891241</v>
      </c>
      <c r="O13" s="159">
        <f ca="1">('Light Vehicle Supporting Data'!O50+'Light Vehicle Supporting Data'!O71)/'Light Vehicle Supporting Data'!O50</f>
        <v>1.6147264068411413</v>
      </c>
      <c r="P13" s="159">
        <f ca="1">('Light Vehicle Supporting Data'!P50+'Light Vehicle Supporting Data'!P71)/'Light Vehicle Supporting Data'!P50</f>
        <v>1.6150301333775303</v>
      </c>
      <c r="Q13" s="160">
        <f ca="1">('Light Vehicle Supporting Data'!Q50+'Light Vehicle Supporting Data'!Q71)/'Light Vehicle Supporting Data'!Q50</f>
        <v>1.6153346576574112</v>
      </c>
    </row>
    <row r="14" spans="3:17" ht="15.5" x14ac:dyDescent="0.35">
      <c r="C14" s="24" t="s">
        <v>4</v>
      </c>
      <c r="D14" s="81">
        <f ca="1">('Light Vehicle Supporting Data'!D51+'Light Vehicle Supporting Data'!D72)/'Light Vehicle Supporting Data'!D51</f>
        <v>1.7238662822313953</v>
      </c>
      <c r="E14" s="82">
        <f ca="1">('Light Vehicle Supporting Data'!E51+'Light Vehicle Supporting Data'!E72)/'Light Vehicle Supporting Data'!E51</f>
        <v>1.7183141292554476</v>
      </c>
      <c r="F14" s="82">
        <f ca="1">('Light Vehicle Supporting Data'!F51+'Light Vehicle Supporting Data'!F72)/'Light Vehicle Supporting Data'!F51</f>
        <v>1.7128701296428521</v>
      </c>
      <c r="G14" s="82">
        <f ca="1">('Light Vehicle Supporting Data'!G51+'Light Vehicle Supporting Data'!G72)/'Light Vehicle Supporting Data'!G51</f>
        <v>1.7075311537100111</v>
      </c>
      <c r="H14" s="82">
        <f ca="1">('Light Vehicle Supporting Data'!H51+'Light Vehicle Supporting Data'!H72)/'Light Vehicle Supporting Data'!H51</f>
        <v>1.7022941913731457</v>
      </c>
      <c r="I14" s="82">
        <f ca="1">('Light Vehicle Supporting Data'!I51+'Light Vehicle Supporting Data'!I72)/'Light Vehicle Supporting Data'!I51</f>
        <v>1.697156346489276</v>
      </c>
      <c r="J14" s="82">
        <f ca="1">('Light Vehicle Supporting Data'!J51+'Light Vehicle Supporting Data'!J72)/'Light Vehicle Supporting Data'!J51</f>
        <v>1.6826363591443398</v>
      </c>
      <c r="K14" s="82">
        <f ca="1">('Light Vehicle Supporting Data'!K51+'Light Vehicle Supporting Data'!K72)/'Light Vehicle Supporting Data'!K51</f>
        <v>1.6688550073296875</v>
      </c>
      <c r="L14" s="82">
        <f ca="1">('Light Vehicle Supporting Data'!L51+'Light Vehicle Supporting Data'!L72)/'Light Vehicle Supporting Data'!L51</f>
        <v>1.6544117037282369</v>
      </c>
      <c r="M14" s="82">
        <f ca="1">('Light Vehicle Supporting Data'!M51+'Light Vehicle Supporting Data'!M72)/'Light Vehicle Supporting Data'!M51</f>
        <v>1.6431593379101721</v>
      </c>
      <c r="N14" s="82">
        <f ca="1">('Light Vehicle Supporting Data'!N51+'Light Vehicle Supporting Data'!N72)/'Light Vehicle Supporting Data'!N51</f>
        <v>1.6319743528104522</v>
      </c>
      <c r="O14" s="159">
        <f ca="1">('Light Vehicle Supporting Data'!O51+'Light Vehicle Supporting Data'!O72)/'Light Vehicle Supporting Data'!O51</f>
        <v>1.6322894143189344</v>
      </c>
      <c r="P14" s="159">
        <f ca="1">('Light Vehicle Supporting Data'!P51+'Light Vehicle Supporting Data'!P72)/'Light Vehicle Supporting Data'!P51</f>
        <v>1.6326054837523758</v>
      </c>
      <c r="Q14" s="160">
        <f ca="1">('Light Vehicle Supporting Data'!Q51+'Light Vehicle Supporting Data'!Q72)/'Light Vehicle Supporting Data'!Q51</f>
        <v>1.6329223592200257</v>
      </c>
    </row>
    <row r="15" spans="3:17" ht="15.5" x14ac:dyDescent="0.35">
      <c r="C15" s="24" t="s">
        <v>5</v>
      </c>
      <c r="D15" s="81">
        <f ca="1">('Light Vehicle Supporting Data'!D52+'Light Vehicle Supporting Data'!D73)/'Light Vehicle Supporting Data'!D52</f>
        <v>1.6067598207277274</v>
      </c>
      <c r="E15" s="82">
        <f ca="1">('Light Vehicle Supporting Data'!E52+'Light Vehicle Supporting Data'!E73)/'Light Vehicle Supporting Data'!E52</f>
        <v>1.6019670103093906</v>
      </c>
      <c r="F15" s="82">
        <f ca="1">('Light Vehicle Supporting Data'!F52+'Light Vehicle Supporting Data'!F73)/'Light Vehicle Supporting Data'!F52</f>
        <v>1.5973398910798198</v>
      </c>
      <c r="G15" s="82">
        <f ca="1">('Light Vehicle Supporting Data'!G52+'Light Vehicle Supporting Data'!G73)/'Light Vehicle Supporting Data'!G52</f>
        <v>1.5928700169232626</v>
      </c>
      <c r="H15" s="82">
        <f ca="1">('Light Vehicle Supporting Data'!H52+'Light Vehicle Supporting Data'!H73)/'Light Vehicle Supporting Data'!H52</f>
        <v>1.5885495061876174</v>
      </c>
      <c r="I15" s="82">
        <f ca="1">('Light Vehicle Supporting Data'!I52+'Light Vehicle Supporting Data'!I73)/'Light Vehicle Supporting Data'!I52</f>
        <v>1.5843709953046412</v>
      </c>
      <c r="J15" s="82">
        <f ca="1">('Light Vehicle Supporting Data'!J52+'Light Vehicle Supporting Data'!J73)/'Light Vehicle Supporting Data'!J52</f>
        <v>1.572192879946853</v>
      </c>
      <c r="K15" s="82">
        <f ca="1">('Light Vehicle Supporting Data'!K52+'Light Vehicle Supporting Data'!K73)/'Light Vehicle Supporting Data'!K52</f>
        <v>1.5606432681880957</v>
      </c>
      <c r="L15" s="82">
        <f ca="1">('Light Vehicle Supporting Data'!L52+'Light Vehicle Supporting Data'!L73)/'Light Vehicle Supporting Data'!L52</f>
        <v>1.5485488578035767</v>
      </c>
      <c r="M15" s="82">
        <f ca="1">('Light Vehicle Supporting Data'!M52+'Light Vehicle Supporting Data'!M73)/'Light Vehicle Supporting Data'!M52</f>
        <v>1.5391357100075429</v>
      </c>
      <c r="N15" s="82">
        <f ca="1">('Light Vehicle Supporting Data'!N52+'Light Vehicle Supporting Data'!N73)/'Light Vehicle Supporting Data'!N52</f>
        <v>1.5297877756137626</v>
      </c>
      <c r="O15" s="159">
        <f ca="1">('Light Vehicle Supporting Data'!O52+'Light Vehicle Supporting Data'!O73)/'Light Vehicle Supporting Data'!O52</f>
        <v>1.5300512993780888</v>
      </c>
      <c r="P15" s="159">
        <f ca="1">('Light Vehicle Supporting Data'!P52+'Light Vehicle Supporting Data'!P73)/'Light Vehicle Supporting Data'!P52</f>
        <v>1.5303156682925418</v>
      </c>
      <c r="Q15" s="160">
        <f ca="1">('Light Vehicle Supporting Data'!Q52+'Light Vehicle Supporting Data'!Q73)/'Light Vehicle Supporting Data'!Q52</f>
        <v>1.5305807135279503</v>
      </c>
    </row>
    <row r="16" spans="3:17" ht="15.5" x14ac:dyDescent="0.35">
      <c r="C16" s="24" t="s">
        <v>6</v>
      </c>
      <c r="D16" s="81">
        <f ca="1">('Light Vehicle Supporting Data'!D53+'Light Vehicle Supporting Data'!D74)/'Light Vehicle Supporting Data'!D53</f>
        <v>1.7031076632918158</v>
      </c>
      <c r="E16" s="82">
        <f ca="1">('Light Vehicle Supporting Data'!E53+'Light Vehicle Supporting Data'!E74)/'Light Vehicle Supporting Data'!E53</f>
        <v>1.6975143910137311</v>
      </c>
      <c r="F16" s="82">
        <f ca="1">('Light Vehicle Supporting Data'!F53+'Light Vehicle Supporting Data'!F74)/'Light Vehicle Supporting Data'!F53</f>
        <v>1.6921349563185297</v>
      </c>
      <c r="G16" s="82">
        <f ca="1">('Light Vehicle Supporting Data'!G53+'Light Vehicle Supporting Data'!G74)/'Light Vehicle Supporting Data'!G53</f>
        <v>1.6869573263169724</v>
      </c>
      <c r="H16" s="82">
        <f ca="1">('Light Vehicle Supporting Data'!H53+'Light Vehicle Supporting Data'!H74)/'Light Vehicle Supporting Data'!H53</f>
        <v>1.68197035430383</v>
      </c>
      <c r="I16" s="82">
        <f ca="1">('Light Vehicle Supporting Data'!I53+'Light Vehicle Supporting Data'!I74)/'Light Vehicle Supporting Data'!I53</f>
        <v>1.6771636996519779</v>
      </c>
      <c r="J16" s="82">
        <f ca="1">('Light Vehicle Supporting Data'!J53+'Light Vehicle Supporting Data'!J74)/'Light Vehicle Supporting Data'!J53</f>
        <v>1.6632352528092429</v>
      </c>
      <c r="K16" s="82">
        <f ca="1">('Light Vehicle Supporting Data'!K53+'Light Vehicle Supporting Data'!K74)/'Light Vehicle Supporting Data'!K53</f>
        <v>1.6500312592138942</v>
      </c>
      <c r="L16" s="82">
        <f ca="1">('Light Vehicle Supporting Data'!L53+'Light Vehicle Supporting Data'!L74)/'Light Vehicle Supporting Data'!L53</f>
        <v>1.6361992751753769</v>
      </c>
      <c r="M16" s="82">
        <f ca="1">('Light Vehicle Supporting Data'!M53+'Light Vehicle Supporting Data'!M74)/'Light Vehicle Supporting Data'!M53</f>
        <v>1.625487962148245</v>
      </c>
      <c r="N16" s="82">
        <f ca="1">('Light Vehicle Supporting Data'!N53+'Light Vehicle Supporting Data'!N74)/'Light Vehicle Supporting Data'!N53</f>
        <v>1.614863167682836</v>
      </c>
      <c r="O16" s="159">
        <f ca="1">('Light Vehicle Supporting Data'!O53+'Light Vehicle Supporting Data'!O74)/'Light Vehicle Supporting Data'!O53</f>
        <v>1.6151665713276941</v>
      </c>
      <c r="P16" s="159">
        <f ca="1">('Light Vehicle Supporting Data'!P53+'Light Vehicle Supporting Data'!P74)/'Light Vehicle Supporting Data'!P53</f>
        <v>1.6154709662925091</v>
      </c>
      <c r="Q16" s="160">
        <f ca="1">('Light Vehicle Supporting Data'!Q53+'Light Vehicle Supporting Data'!Q74)/'Light Vehicle Supporting Data'!Q53</f>
        <v>1.6157761579103138</v>
      </c>
    </row>
    <row r="17" spans="3:21" ht="15.5" x14ac:dyDescent="0.35">
      <c r="C17" s="24" t="s">
        <v>7</v>
      </c>
      <c r="D17" s="81">
        <f ca="1">('Light Vehicle Supporting Data'!D54+'Light Vehicle Supporting Data'!D75)/'Light Vehicle Supporting Data'!D54</f>
        <v>1.4968686379367222</v>
      </c>
      <c r="E17" s="82">
        <f ca="1">('Light Vehicle Supporting Data'!E54+'Light Vehicle Supporting Data'!E75)/'Light Vehicle Supporting Data'!E54</f>
        <v>1.4929770274690781</v>
      </c>
      <c r="F17" s="82">
        <f ca="1">('Light Vehicle Supporting Data'!F54+'Light Vehicle Supporting Data'!F75)/'Light Vehicle Supporting Data'!F54</f>
        <v>1.4892029181459088</v>
      </c>
      <c r="G17" s="82">
        <f ca="1">('Light Vehicle Supporting Data'!G54+'Light Vehicle Supporting Data'!G75)/'Light Vehicle Supporting Data'!G54</f>
        <v>1.4855410674645115</v>
      </c>
      <c r="H17" s="82">
        <f ca="1">('Light Vehicle Supporting Data'!H54+'Light Vehicle Supporting Data'!H75)/'Light Vehicle Supporting Data'!H54</f>
        <v>1.481986540222217</v>
      </c>
      <c r="I17" s="82">
        <f ca="1">('Light Vehicle Supporting Data'!I54+'Light Vehicle Supporting Data'!I75)/'Light Vehicle Supporting Data'!I54</f>
        <v>1.4785346863253088</v>
      </c>
      <c r="J17" s="82">
        <f ca="1">('Light Vehicle Supporting Data'!J54+'Light Vehicle Supporting Data'!J75)/'Light Vehicle Supporting Data'!J54</f>
        <v>1.4684051941504186</v>
      </c>
      <c r="K17" s="82">
        <f ca="1">('Light Vehicle Supporting Data'!K54+'Light Vehicle Supporting Data'!K75)/'Light Vehicle Supporting Data'!K54</f>
        <v>1.4587969376994927</v>
      </c>
      <c r="L17" s="82">
        <f ca="1">('Light Vehicle Supporting Data'!L54+'Light Vehicle Supporting Data'!L75)/'Light Vehicle Supporting Data'!L54</f>
        <v>1.4487414548712536</v>
      </c>
      <c r="M17" s="82">
        <f ca="1">('Light Vehicle Supporting Data'!M54+'Light Vehicle Supporting Data'!M75)/'Light Vehicle Supporting Data'!M54</f>
        <v>1.440869063598512</v>
      </c>
      <c r="N17" s="82">
        <f ca="1">('Light Vehicle Supporting Data'!N54+'Light Vehicle Supporting Data'!N75)/'Light Vehicle Supporting Data'!N54</f>
        <v>1.4330411093676017</v>
      </c>
      <c r="O17" s="159">
        <f ca="1">('Light Vehicle Supporting Data'!O54+'Light Vehicle Supporting Data'!O75)/'Light Vehicle Supporting Data'!O54</f>
        <v>1.4332582726670324</v>
      </c>
      <c r="P17" s="159">
        <f ca="1">('Light Vehicle Supporting Data'!P54+'Light Vehicle Supporting Data'!P75)/'Light Vehicle Supporting Data'!P54</f>
        <v>1.4334761191971803</v>
      </c>
      <c r="Q17" s="160">
        <f ca="1">('Light Vehicle Supporting Data'!Q54+'Light Vehicle Supporting Data'!Q75)/'Light Vehicle Supporting Data'!Q54</f>
        <v>1.4336945099158978</v>
      </c>
    </row>
    <row r="18" spans="3:21" ht="15.5" x14ac:dyDescent="0.35">
      <c r="C18" s="24" t="s">
        <v>8</v>
      </c>
      <c r="D18" s="81">
        <f ca="1">('Light Vehicle Supporting Data'!D55+'Light Vehicle Supporting Data'!D76)/'Light Vehicle Supporting Data'!D55</f>
        <v>1.5761670451525365</v>
      </c>
      <c r="E18" s="82">
        <f ca="1">('Light Vehicle Supporting Data'!E55+'Light Vehicle Supporting Data'!E76)/'Light Vehicle Supporting Data'!E55</f>
        <v>1.5715570937345162</v>
      </c>
      <c r="F18" s="82">
        <f ca="1">('Light Vehicle Supporting Data'!F55+'Light Vehicle Supporting Data'!F76)/'Light Vehicle Supporting Data'!F55</f>
        <v>1.5671336537045775</v>
      </c>
      <c r="G18" s="82">
        <f ca="1">('Light Vehicle Supporting Data'!G55+'Light Vehicle Supporting Data'!G76)/'Light Vehicle Supporting Data'!G55</f>
        <v>1.5628856305594192</v>
      </c>
      <c r="H18" s="82">
        <f ca="1">('Light Vehicle Supporting Data'!H55+'Light Vehicle Supporting Data'!H76)/'Light Vehicle Supporting Data'!H55</f>
        <v>1.5588027926195744</v>
      </c>
      <c r="I18" s="82">
        <f ca="1">('Light Vehicle Supporting Data'!I55+'Light Vehicle Supporting Data'!I76)/'Light Vehicle Supporting Data'!I55</f>
        <v>1.5548756887514252</v>
      </c>
      <c r="J18" s="82">
        <f ca="1">('Light Vehicle Supporting Data'!J55+'Light Vehicle Supporting Data'!J76)/'Light Vehicle Supporting Data'!J55</f>
        <v>1.5416601228584188</v>
      </c>
      <c r="K18" s="82">
        <f ca="1">('Light Vehicle Supporting Data'!K55+'Light Vehicle Supporting Data'!K76)/'Light Vehicle Supporting Data'!K55</f>
        <v>1.5294262605214537</v>
      </c>
      <c r="L18" s="82">
        <f ca="1">('Light Vehicle Supporting Data'!L55+'Light Vehicle Supporting Data'!L76)/'Light Vehicle Supporting Data'!L55</f>
        <v>1.5170168544996228</v>
      </c>
      <c r="M18" s="82">
        <f ca="1">('Light Vehicle Supporting Data'!M55+'Light Vehicle Supporting Data'!M76)/'Light Vehicle Supporting Data'!M55</f>
        <v>1.5071188774539248</v>
      </c>
      <c r="N18" s="82">
        <f ca="1">('Light Vehicle Supporting Data'!N55+'Light Vehicle Supporting Data'!N76)/'Light Vehicle Supporting Data'!N55</f>
        <v>1.4971717628713501</v>
      </c>
      <c r="O18" s="159">
        <f ca="1">('Light Vehicle Supporting Data'!O55+'Light Vehicle Supporting Data'!O76)/'Light Vehicle Supporting Data'!O55</f>
        <v>1.4966867029661406</v>
      </c>
      <c r="P18" s="159">
        <f ca="1">('Light Vehicle Supporting Data'!P55+'Light Vehicle Supporting Data'!P76)/'Light Vehicle Supporting Data'!P55</f>
        <v>1.4961226740874731</v>
      </c>
      <c r="Q18" s="160">
        <f ca="1">('Light Vehicle Supporting Data'!Q55+'Light Vehicle Supporting Data'!Q76)/'Light Vehicle Supporting Data'!Q55</f>
        <v>1.4954931850581741</v>
      </c>
    </row>
    <row r="19" spans="3:21" ht="15.5" x14ac:dyDescent="0.35">
      <c r="C19" s="24" t="s">
        <v>9</v>
      </c>
      <c r="D19" s="81">
        <f ca="1">('Light Vehicle Supporting Data'!D56+'Light Vehicle Supporting Data'!D77)/'Light Vehicle Supporting Data'!D56</f>
        <v>1.5223311720305397</v>
      </c>
      <c r="E19" s="82">
        <f ca="1">('Light Vehicle Supporting Data'!E56+'Light Vehicle Supporting Data'!E77)/'Light Vehicle Supporting Data'!E56</f>
        <v>1.5182739138069752</v>
      </c>
      <c r="F19" s="82">
        <f ca="1">('Light Vehicle Supporting Data'!F56+'Light Vehicle Supporting Data'!F77)/'Light Vehicle Supporting Data'!F56</f>
        <v>1.5143218751856868</v>
      </c>
      <c r="G19" s="82">
        <f ca="1">('Light Vehicle Supporting Data'!G56+'Light Vehicle Supporting Data'!G77)/'Light Vehicle Supporting Data'!G56</f>
        <v>1.5104710154658647</v>
      </c>
      <c r="H19" s="82">
        <f ca="1">('Light Vehicle Supporting Data'!H56+'Light Vehicle Supporting Data'!H77)/'Light Vehicle Supporting Data'!H56</f>
        <v>1.5067174982293166</v>
      </c>
      <c r="I19" s="82">
        <f ca="1">('Light Vehicle Supporting Data'!I56+'Light Vehicle Supporting Data'!I77)/'Light Vehicle Supporting Data'!I56</f>
        <v>1.5030576785918968</v>
      </c>
      <c r="J19" s="82">
        <f ca="1">('Light Vehicle Supporting Data'!J56+'Light Vehicle Supporting Data'!J77)/'Light Vehicle Supporting Data'!J56</f>
        <v>1.4924227059685014</v>
      </c>
      <c r="K19" s="82">
        <f ca="1">('Light Vehicle Supporting Data'!K56+'Light Vehicle Supporting Data'!K77)/'Light Vehicle Supporting Data'!K56</f>
        <v>1.4823347710285402</v>
      </c>
      <c r="L19" s="82">
        <f ca="1">('Light Vehicle Supporting Data'!L56+'Light Vehicle Supporting Data'!L77)/'Light Vehicle Supporting Data'!L56</f>
        <v>1.4717790587014827</v>
      </c>
      <c r="M19" s="82">
        <f ca="1">('Light Vehicle Supporting Data'!M56+'Light Vehicle Supporting Data'!M77)/'Light Vehicle Supporting Data'!M56</f>
        <v>1.4635238756898423</v>
      </c>
      <c r="N19" s="82">
        <f ca="1">('Light Vehicle Supporting Data'!N56+'Light Vehicle Supporting Data'!N77)/'Light Vehicle Supporting Data'!N56</f>
        <v>1.4553198385068826</v>
      </c>
      <c r="O19" s="159">
        <f ca="1">('Light Vehicle Supporting Data'!O56+'Light Vehicle Supporting Data'!O77)/'Light Vehicle Supporting Data'!O56</f>
        <v>1.4555481536532158</v>
      </c>
      <c r="P19" s="159">
        <f ca="1">('Light Vehicle Supporting Data'!P56+'Light Vehicle Supporting Data'!P77)/'Light Vehicle Supporting Data'!P56</f>
        <v>1.4557771861461881</v>
      </c>
      <c r="Q19" s="160">
        <f ca="1">('Light Vehicle Supporting Data'!Q56+'Light Vehicle Supporting Data'!Q77)/'Light Vehicle Supporting Data'!Q56</f>
        <v>1.4560067900366536</v>
      </c>
    </row>
    <row r="20" spans="3:21" ht="15.5" x14ac:dyDescent="0.35">
      <c r="C20" s="24" t="s">
        <v>10</v>
      </c>
      <c r="D20" s="81">
        <f ca="1">('Light Vehicle Supporting Data'!D57+'Light Vehicle Supporting Data'!D78)/'Light Vehicle Supporting Data'!D57</f>
        <v>1.708901248114826</v>
      </c>
      <c r="E20" s="82">
        <f ca="1">('Light Vehicle Supporting Data'!E57+'Light Vehicle Supporting Data'!E78)/'Light Vehicle Supporting Data'!E57</f>
        <v>1.7036622099487997</v>
      </c>
      <c r="F20" s="82">
        <f ca="1">('Light Vehicle Supporting Data'!F57+'Light Vehicle Supporting Data'!F78)/'Light Vehicle Supporting Data'!F57</f>
        <v>1.6984269207779232</v>
      </c>
      <c r="G20" s="82">
        <f ca="1">('Light Vehicle Supporting Data'!G57+'Light Vehicle Supporting Data'!G78)/'Light Vehicle Supporting Data'!G57</f>
        <v>1.6931953765795289</v>
      </c>
      <c r="H20" s="82">
        <f ca="1">('Light Vehicle Supporting Data'!H57+'Light Vehicle Supporting Data'!H78)/'Light Vehicle Supporting Data'!H57</f>
        <v>1.687967573336703</v>
      </c>
      <c r="I20" s="82">
        <f ca="1">('Light Vehicle Supporting Data'!I57+'Light Vehicle Supporting Data'!I78)/'Light Vehicle Supporting Data'!I57</f>
        <v>1.6827435070382739</v>
      </c>
      <c r="J20" s="82">
        <f ca="1">('Light Vehicle Supporting Data'!J57+'Light Vehicle Supporting Data'!J78)/'Light Vehicle Supporting Data'!J57</f>
        <v>1.66865214520334</v>
      </c>
      <c r="K20" s="82">
        <f ca="1">('Light Vehicle Supporting Data'!K57+'Light Vehicle Supporting Data'!K78)/'Light Vehicle Supporting Data'!K57</f>
        <v>1.655289531601484</v>
      </c>
      <c r="L20" s="82">
        <f ca="1">('Light Vehicle Supporting Data'!L57+'Light Vehicle Supporting Data'!L78)/'Light Vehicle Supporting Data'!L57</f>
        <v>1.6412897068458565</v>
      </c>
      <c r="M20" s="82">
        <f ca="1">('Light Vehicle Supporting Data'!M57+'Light Vehicle Supporting Data'!M78)/'Light Vehicle Supporting Data'!M57</f>
        <v>1.630430271918099</v>
      </c>
      <c r="N20" s="82">
        <f ca="1">('Light Vehicle Supporting Data'!N57+'Light Vehicle Supporting Data'!N78)/'Light Vehicle Supporting Data'!N57</f>
        <v>1.6196522209207405</v>
      </c>
      <c r="O20" s="159">
        <f ca="1">('Light Vehicle Supporting Data'!O57+'Light Vehicle Supporting Data'!O78)/'Light Vehicle Supporting Data'!O57</f>
        <v>1.6199588203234521</v>
      </c>
      <c r="P20" s="159">
        <f ca="1">('Light Vehicle Supporting Data'!P57+'Light Vehicle Supporting Data'!P78)/'Light Vehicle Supporting Data'!P57</f>
        <v>1.620266416001535</v>
      </c>
      <c r="Q20" s="160">
        <f ca="1">('Light Vehicle Supporting Data'!Q57+'Light Vehicle Supporting Data'!Q78)/'Light Vehicle Supporting Data'!Q57</f>
        <v>1.6205748112872771</v>
      </c>
    </row>
    <row r="21" spans="3:21" ht="15.5" x14ac:dyDescent="0.35">
      <c r="C21" s="24" t="s">
        <v>11</v>
      </c>
      <c r="D21" s="81">
        <f ca="1">('Light Vehicle Supporting Data'!D58+'Light Vehicle Supporting Data'!D79)/'Light Vehicle Supporting Data'!D58</f>
        <v>1.5384403921269905</v>
      </c>
      <c r="E21" s="82">
        <f ca="1">('Light Vehicle Supporting Data'!E58+'Light Vehicle Supporting Data'!E79)/'Light Vehicle Supporting Data'!E58</f>
        <v>1.5340281008491665</v>
      </c>
      <c r="F21" s="82">
        <f ca="1">('Light Vehicle Supporting Data'!F58+'Light Vehicle Supporting Data'!F79)/'Light Vehicle Supporting Data'!F58</f>
        <v>1.5298528402661384</v>
      </c>
      <c r="G21" s="82">
        <f ca="1">('Light Vehicle Supporting Data'!G58+'Light Vehicle Supporting Data'!G79)/'Light Vehicle Supporting Data'!G58</f>
        <v>1.525896009865374</v>
      </c>
      <c r="H21" s="82">
        <f ca="1">('Light Vehicle Supporting Data'!H58+'Light Vehicle Supporting Data'!H79)/'Light Vehicle Supporting Data'!H58</f>
        <v>1.5221409057086952</v>
      </c>
      <c r="I21" s="82">
        <f ca="1">('Light Vehicle Supporting Data'!I58+'Light Vehicle Supporting Data'!I79)/'Light Vehicle Supporting Data'!I58</f>
        <v>1.518572484714118</v>
      </c>
      <c r="J21" s="82">
        <f ca="1">('Light Vehicle Supporting Data'!J58+'Light Vehicle Supporting Data'!J79)/'Light Vehicle Supporting Data'!J58</f>
        <v>1.5072583950467515</v>
      </c>
      <c r="K21" s="82">
        <f ca="1">('Light Vehicle Supporting Data'!K58+'Light Vehicle Supporting Data'!K79)/'Light Vehicle Supporting Data'!K58</f>
        <v>1.4965087909773922</v>
      </c>
      <c r="L21" s="82">
        <f ca="1">('Light Vehicle Supporting Data'!L58+'Light Vehicle Supporting Data'!L79)/'Light Vehicle Supporting Data'!L58</f>
        <v>1.4852577681067307</v>
      </c>
      <c r="M21" s="82">
        <f ca="1">('Light Vehicle Supporting Data'!M58+'Light Vehicle Supporting Data'!M79)/'Light Vehicle Supporting Data'!M58</f>
        <v>1.4763366674144174</v>
      </c>
      <c r="N21" s="82">
        <f ca="1">('Light Vehicle Supporting Data'!N58+'Light Vehicle Supporting Data'!N79)/'Light Vehicle Supporting Data'!N58</f>
        <v>1.4674320249016375</v>
      </c>
      <c r="O21" s="159">
        <f ca="1">('Light Vehicle Supporting Data'!O58+'Light Vehicle Supporting Data'!O79)/'Light Vehicle Supporting Data'!O58</f>
        <v>1.4676713476253667</v>
      </c>
      <c r="P21" s="159">
        <f ca="1">('Light Vehicle Supporting Data'!P58+'Light Vehicle Supporting Data'!P79)/'Light Vehicle Supporting Data'!P58</f>
        <v>1.4679113893906415</v>
      </c>
      <c r="Q21" s="160">
        <f ca="1">('Light Vehicle Supporting Data'!Q58+'Light Vehicle Supporting Data'!Q79)/'Light Vehicle Supporting Data'!Q58</f>
        <v>1.4681519972532511</v>
      </c>
    </row>
    <row r="22" spans="3:21" ht="15.5" x14ac:dyDescent="0.35">
      <c r="C22" s="24" t="s">
        <v>12</v>
      </c>
      <c r="D22" s="81">
        <f ca="1">('Light Vehicle Supporting Data'!D59+'Light Vehicle Supporting Data'!D80)/'Light Vehicle Supporting Data'!D59</f>
        <v>1.7124125676570066</v>
      </c>
      <c r="E22" s="82">
        <f ca="1">('Light Vehicle Supporting Data'!E59+'Light Vehicle Supporting Data'!E80)/'Light Vehicle Supporting Data'!E59</f>
        <v>1.7065847837568688</v>
      </c>
      <c r="F22" s="82">
        <f ca="1">('Light Vehicle Supporting Data'!F59+'Light Vehicle Supporting Data'!F80)/'Light Vehicle Supporting Data'!F59</f>
        <v>1.7010647491760846</v>
      </c>
      <c r="G22" s="82">
        <f ca="1">('Light Vehicle Supporting Data'!G59+'Light Vehicle Supporting Data'!G80)/'Light Vehicle Supporting Data'!G59</f>
        <v>1.6958287139021928</v>
      </c>
      <c r="H22" s="82">
        <f ca="1">('Light Vehicle Supporting Data'!H59+'Light Vehicle Supporting Data'!H80)/'Light Vehicle Supporting Data'!H59</f>
        <v>1.6908553104540938</v>
      </c>
      <c r="I22" s="82">
        <f ca="1">('Light Vehicle Supporting Data'!I59+'Light Vehicle Supporting Data'!I80)/'Light Vehicle Supporting Data'!I59</f>
        <v>1.6861252624307714</v>
      </c>
      <c r="J22" s="82">
        <f ca="1">('Light Vehicle Supporting Data'!J59+'Light Vehicle Supporting Data'!J80)/'Light Vehicle Supporting Data'!J59</f>
        <v>1.6718295297878476</v>
      </c>
      <c r="K22" s="82">
        <f ca="1">('Light Vehicle Supporting Data'!K59+'Light Vehicle Supporting Data'!K80)/'Light Vehicle Supporting Data'!K59</f>
        <v>1.6582624077553201</v>
      </c>
      <c r="L22" s="82">
        <f ca="1">('Light Vehicle Supporting Data'!L59+'Light Vehicle Supporting Data'!L80)/'Light Vehicle Supporting Data'!L59</f>
        <v>1.6440470108165361</v>
      </c>
      <c r="M22" s="82">
        <f ca="1">('Light Vehicle Supporting Data'!M59+'Light Vehicle Supporting Data'!M80)/'Light Vehicle Supporting Data'!M59</f>
        <v>1.6329757741664868</v>
      </c>
      <c r="N22" s="82">
        <f ca="1">('Light Vehicle Supporting Data'!N59+'Light Vehicle Supporting Data'!N80)/'Light Vehicle Supporting Data'!N59</f>
        <v>1.6219746960415431</v>
      </c>
      <c r="O22" s="159">
        <f ca="1">('Light Vehicle Supporting Data'!O59+'Light Vehicle Supporting Data'!O80)/'Light Vehicle Supporting Data'!O59</f>
        <v>1.6222847856229221</v>
      </c>
      <c r="P22" s="159">
        <f ca="1">('Light Vehicle Supporting Data'!P59+'Light Vehicle Supporting Data'!P80)/'Light Vehicle Supporting Data'!P59</f>
        <v>1.6225958658910635</v>
      </c>
      <c r="Q22" s="160">
        <f ca="1">('Light Vehicle Supporting Data'!Q59+'Light Vehicle Supporting Data'!Q80)/'Light Vehicle Supporting Data'!Q59</f>
        <v>1.6229077383019359</v>
      </c>
    </row>
    <row r="23" spans="3:21" ht="16" thickBot="1" x14ac:dyDescent="0.4">
      <c r="C23" s="25" t="s">
        <v>13</v>
      </c>
      <c r="D23" s="76">
        <f ca="1">('Light Vehicle Supporting Data'!D60+'Light Vehicle Supporting Data'!D81)/'Light Vehicle Supporting Data'!D60</f>
        <v>1.5788035894729133</v>
      </c>
      <c r="E23" s="77">
        <f ca="1">('Light Vehicle Supporting Data'!E60+'Light Vehicle Supporting Data'!E81)/'Light Vehicle Supporting Data'!E60</f>
        <v>1.5743592545783958</v>
      </c>
      <c r="F23" s="77">
        <f ca="1">('Light Vehicle Supporting Data'!F60+'Light Vehicle Supporting Data'!F81)/'Light Vehicle Supporting Data'!F60</f>
        <v>1.5700039579003957</v>
      </c>
      <c r="G23" s="77">
        <f ca="1">('Light Vehicle Supporting Data'!G60+'Light Vehicle Supporting Data'!G81)/'Light Vehicle Supporting Data'!G60</f>
        <v>1.5657350502758987</v>
      </c>
      <c r="H23" s="77">
        <f ca="1">('Light Vehicle Supporting Data'!H60+'Light Vehicle Supporting Data'!H81)/'Light Vehicle Supporting Data'!H60</f>
        <v>1.5615499866042493</v>
      </c>
      <c r="I23" s="77">
        <f ca="1">('Light Vehicle Supporting Data'!I60+'Light Vehicle Supporting Data'!I81)/'Light Vehicle Supporting Data'!I60</f>
        <v>1.5574463207872202</v>
      </c>
      <c r="J23" s="77">
        <f ca="1">('Light Vehicle Supporting Data'!J60+'Light Vehicle Supporting Data'!J81)/'Light Vehicle Supporting Data'!J60</f>
        <v>1.545793486746589</v>
      </c>
      <c r="K23" s="77">
        <f ca="1">('Light Vehicle Supporting Data'!K60+'Light Vehicle Supporting Data'!K81)/'Light Vehicle Supporting Data'!K60</f>
        <v>1.5347411789583847</v>
      </c>
      <c r="L23" s="77">
        <f ca="1">('Light Vehicle Supporting Data'!L60+'Light Vehicle Supporting Data'!L81)/'Light Vehicle Supporting Data'!L60</f>
        <v>1.5231662385640712</v>
      </c>
      <c r="M23" s="77">
        <f ca="1">('Light Vehicle Supporting Data'!M60+'Light Vehicle Supporting Data'!M81)/'Light Vehicle Supporting Data'!M60</f>
        <v>1.5141419425478342</v>
      </c>
      <c r="N23" s="77">
        <f ca="1">('Light Vehicle Supporting Data'!N60+'Light Vehicle Supporting Data'!N81)/'Light Vehicle Supporting Data'!N60</f>
        <v>1.5051740190052099</v>
      </c>
      <c r="O23" s="162">
        <f ca="1">('Light Vehicle Supporting Data'!O60+'Light Vehicle Supporting Data'!O81)/'Light Vehicle Supporting Data'!O60</f>
        <v>1.5054256578594503</v>
      </c>
      <c r="P23" s="162">
        <f ca="1">('Light Vehicle Supporting Data'!P60+'Light Vehicle Supporting Data'!P81)/'Light Vehicle Supporting Data'!P60</f>
        <v>1.5056781021973387</v>
      </c>
      <c r="Q23" s="163">
        <f ca="1">('Light Vehicle Supporting Data'!Q60+'Light Vehicle Supporting Data'!Q81)/'Light Vehicle Supporting Data'!Q60</f>
        <v>1.5059311906281596</v>
      </c>
    </row>
    <row r="24" spans="3:21" ht="18" customHeight="1" thickTop="1" thickBot="1" x14ac:dyDescent="0.4">
      <c r="C24" s="20" t="s">
        <v>24</v>
      </c>
      <c r="D24" s="125">
        <f ca="1">('Light Vehicle Supporting Data'!D61+'Light Vehicle Supporting Data'!D82)/'Light Vehicle Supporting Data'!D61</f>
        <v>1.5631292663732956</v>
      </c>
      <c r="E24" s="125">
        <f ca="1">('Light Vehicle Supporting Data'!E61+'Light Vehicle Supporting Data'!E82)/'Light Vehicle Supporting Data'!E61</f>
        <v>1.5584041282824672</v>
      </c>
      <c r="F24" s="125">
        <f ca="1">('Light Vehicle Supporting Data'!F61+'Light Vehicle Supporting Data'!F82)/'Light Vehicle Supporting Data'!F61</f>
        <v>1.5538812475611825</v>
      </c>
      <c r="G24" s="125">
        <f ca="1">('Light Vehicle Supporting Data'!G61+'Light Vehicle Supporting Data'!G82)/'Light Vehicle Supporting Data'!G61</f>
        <v>1.5495479100209901</v>
      </c>
      <c r="H24" s="125">
        <f ca="1">('Light Vehicle Supporting Data'!H61+'Light Vehicle Supporting Data'!H82)/'Light Vehicle Supporting Data'!H61</f>
        <v>1.5453924452452779</v>
      </c>
      <c r="I24" s="125">
        <f ca="1">('Light Vehicle Supporting Data'!I61+'Light Vehicle Supporting Data'!I82)/'Light Vehicle Supporting Data'!I61</f>
        <v>1.5414041216327594</v>
      </c>
      <c r="J24" s="125">
        <f ca="1">('Light Vehicle Supporting Data'!J61+'Light Vehicle Supporting Data'!J82)/'Light Vehicle Supporting Data'!J61</f>
        <v>1.5277004452417617</v>
      </c>
      <c r="K24" s="125">
        <f ca="1">('Light Vehicle Supporting Data'!K61+'Light Vehicle Supporting Data'!K82)/'Light Vehicle Supporting Data'!K61</f>
        <v>1.5147784944088389</v>
      </c>
      <c r="L24" s="125">
        <f ca="1">('Light Vehicle Supporting Data'!L61+'Light Vehicle Supporting Data'!L82)/'Light Vehicle Supporting Data'!L61</f>
        <v>1.5022717599243833</v>
      </c>
      <c r="M24" s="125">
        <f ca="1">('Light Vehicle Supporting Data'!M61+'Light Vehicle Supporting Data'!M82)/'Light Vehicle Supporting Data'!M61</f>
        <v>1.4922289753481364</v>
      </c>
      <c r="N24" s="125">
        <f ca="1">('Light Vehicle Supporting Data'!N61+'Light Vehicle Supporting Data'!N82)/'Light Vehicle Supporting Data'!N61</f>
        <v>1.4822121369201933</v>
      </c>
      <c r="O24" s="125">
        <f ca="1">('Light Vehicle Supporting Data'!O61+'Light Vehicle Supporting Data'!O82)/'Light Vehicle Supporting Data'!O61</f>
        <v>1.4813768574728177</v>
      </c>
      <c r="P24" s="125">
        <f ca="1">('Light Vehicle Supporting Data'!P61+'Light Vehicle Supporting Data'!P82)/'Light Vehicle Supporting Data'!P61</f>
        <v>1.4804764312311476</v>
      </c>
      <c r="Q24" s="126">
        <f ca="1">('Light Vehicle Supporting Data'!Q61+'Light Vehicle Supporting Data'!Q82)/'Light Vehicle Supporting Data'!Q61</f>
        <v>1.479473008413422</v>
      </c>
    </row>
    <row r="25" spans="3:21" ht="16" thickTop="1" x14ac:dyDescent="0.35">
      <c r="C25" s="154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</row>
    <row r="27" spans="3:21" ht="13" thickBot="1" x14ac:dyDescent="0.3"/>
    <row r="28" spans="3:21" ht="16" thickTop="1" x14ac:dyDescent="0.35">
      <c r="C28" s="32" t="s">
        <v>164</v>
      </c>
      <c r="D28" s="34"/>
      <c r="E28" s="33"/>
      <c r="F28" s="33"/>
      <c r="G28" s="33"/>
      <c r="H28" s="33"/>
      <c r="I28" s="34"/>
      <c r="J28" s="34"/>
      <c r="K28" s="34"/>
      <c r="L28" s="34"/>
      <c r="M28" s="34"/>
      <c r="N28" s="34"/>
      <c r="O28" s="34"/>
      <c r="P28" s="34"/>
      <c r="Q28" s="35"/>
    </row>
    <row r="29" spans="3:21" ht="13.5" thickBot="1" x14ac:dyDescent="0.35">
      <c r="C29" s="18"/>
      <c r="D29" s="65" t="s">
        <v>25</v>
      </c>
      <c r="E29" s="65" t="s">
        <v>37</v>
      </c>
      <c r="F29" s="65" t="s">
        <v>38</v>
      </c>
      <c r="G29" s="37" t="s">
        <v>177</v>
      </c>
      <c r="H29" s="37" t="s">
        <v>178</v>
      </c>
      <c r="I29" s="65" t="s">
        <v>26</v>
      </c>
      <c r="J29" s="65" t="s">
        <v>27</v>
      </c>
      <c r="K29" s="65" t="s">
        <v>28</v>
      </c>
      <c r="L29" s="65" t="s">
        <v>29</v>
      </c>
      <c r="M29" s="65" t="s">
        <v>30</v>
      </c>
      <c r="N29" s="65" t="s">
        <v>31</v>
      </c>
      <c r="O29" s="37" t="s">
        <v>174</v>
      </c>
      <c r="P29" s="37" t="s">
        <v>175</v>
      </c>
      <c r="Q29" s="38" t="s">
        <v>176</v>
      </c>
    </row>
    <row r="30" spans="3:21" ht="14" thickTop="1" thickBot="1" x14ac:dyDescent="0.35">
      <c r="C30" s="70"/>
      <c r="D30" s="71" t="s">
        <v>39</v>
      </c>
      <c r="E30" s="71" t="s">
        <v>39</v>
      </c>
      <c r="F30" s="71" t="s">
        <v>39</v>
      </c>
      <c r="G30" s="65" t="s">
        <v>39</v>
      </c>
      <c r="H30" s="65" t="s">
        <v>39</v>
      </c>
      <c r="I30" s="71" t="s">
        <v>39</v>
      </c>
      <c r="J30" s="71" t="s">
        <v>32</v>
      </c>
      <c r="K30" s="71" t="s">
        <v>32</v>
      </c>
      <c r="L30" s="71" t="s">
        <v>32</v>
      </c>
      <c r="M30" s="71" t="s">
        <v>32</v>
      </c>
      <c r="N30" s="71" t="s">
        <v>32</v>
      </c>
      <c r="O30" s="65" t="s">
        <v>32</v>
      </c>
      <c r="P30" s="65" t="s">
        <v>32</v>
      </c>
      <c r="Q30" s="66" t="s">
        <v>32</v>
      </c>
    </row>
    <row r="31" spans="3:21" ht="16" thickTop="1" x14ac:dyDescent="0.35">
      <c r="C31" s="24" t="s">
        <v>0</v>
      </c>
      <c r="D31" s="153">
        <f ca="1">D10</f>
        <v>1.6587105725502904</v>
      </c>
      <c r="E31" s="156">
        <f t="shared" ref="D31:F44" ca="1" si="0">E10</f>
        <v>1.6534613068208053</v>
      </c>
      <c r="F31" s="156">
        <f t="shared" ca="1" si="0"/>
        <v>1.6484174911379252</v>
      </c>
      <c r="G31" s="156">
        <f t="shared" ref="G31:H31" ca="1" si="1">G10</f>
        <v>1.6435672954022729</v>
      </c>
      <c r="H31" s="156">
        <f t="shared" ca="1" si="1"/>
        <v>1.6388997806679484</v>
      </c>
      <c r="I31" s="156">
        <v>1.6275615032577166</v>
      </c>
      <c r="J31" s="156">
        <v>1.6075849407174667</v>
      </c>
      <c r="K31" s="156">
        <v>1.5936200508709952</v>
      </c>
      <c r="L31" s="156">
        <v>1.5769148663480468</v>
      </c>
      <c r="M31" s="156">
        <v>1.5660410356635825</v>
      </c>
      <c r="N31" s="156">
        <v>1.555734158183574</v>
      </c>
      <c r="O31" s="156">
        <v>1.5864986361315778</v>
      </c>
      <c r="P31" s="156">
        <v>1.5871472183505546</v>
      </c>
      <c r="Q31" s="157">
        <v>1.5877982894154219</v>
      </c>
      <c r="R31" s="43"/>
      <c r="S31" s="43"/>
      <c r="T31" s="43"/>
      <c r="U31" s="43"/>
    </row>
    <row r="32" spans="3:21" ht="15.5" x14ac:dyDescent="0.35">
      <c r="C32" s="24" t="s">
        <v>1</v>
      </c>
      <c r="D32" s="158">
        <f t="shared" ca="1" si="0"/>
        <v>1.5135908407438097</v>
      </c>
      <c r="E32" s="159">
        <f t="shared" ca="1" si="0"/>
        <v>1.5090257328210044</v>
      </c>
      <c r="F32" s="159">
        <f t="shared" ca="1" si="0"/>
        <v>1.5046779018517182</v>
      </c>
      <c r="G32" s="159">
        <f t="shared" ref="G32:H32" ca="1" si="2">G11</f>
        <v>1.5005321964122875</v>
      </c>
      <c r="H32" s="159">
        <f t="shared" ca="1" si="2"/>
        <v>1.4965748418210971</v>
      </c>
      <c r="I32" s="159">
        <v>1.4919853178926559</v>
      </c>
      <c r="J32" s="159">
        <v>1.4808193656889841</v>
      </c>
      <c r="K32" s="159">
        <v>1.4770262598122381</v>
      </c>
      <c r="L32" s="159">
        <v>1.4679238148723237</v>
      </c>
      <c r="M32" s="159">
        <v>1.4610974828652314</v>
      </c>
      <c r="N32" s="159">
        <v>1.45445616662189</v>
      </c>
      <c r="O32" s="159">
        <v>1.4327485775117685</v>
      </c>
      <c r="P32" s="159">
        <v>1.4309455835644769</v>
      </c>
      <c r="Q32" s="160">
        <v>1.4286972377996043</v>
      </c>
      <c r="R32" s="43"/>
      <c r="S32" s="43"/>
      <c r="T32" s="43"/>
      <c r="U32" s="43"/>
    </row>
    <row r="33" spans="3:21" ht="15.5" x14ac:dyDescent="0.35">
      <c r="C33" s="24" t="s">
        <v>2</v>
      </c>
      <c r="D33" s="158">
        <f t="shared" ca="1" si="0"/>
        <v>1.5269744114686463</v>
      </c>
      <c r="E33" s="159">
        <f t="shared" ca="1" si="0"/>
        <v>1.5227371874402222</v>
      </c>
      <c r="F33" s="159">
        <f t="shared" ca="1" si="0"/>
        <v>1.5186855319630836</v>
      </c>
      <c r="G33" s="159">
        <f t="shared" ref="G33:H33" ca="1" si="3">G12</f>
        <v>1.5148075158382055</v>
      </c>
      <c r="H33" s="159">
        <f t="shared" ca="1" si="3"/>
        <v>1.5110922109011538</v>
      </c>
      <c r="I33" s="159">
        <v>1.5077306709585929</v>
      </c>
      <c r="J33" s="159">
        <v>1.4942840716146135</v>
      </c>
      <c r="K33" s="159">
        <v>1.4814652066732081</v>
      </c>
      <c r="L33" s="159">
        <v>1.4724678495598098</v>
      </c>
      <c r="M33" s="159">
        <v>1.464833535786338</v>
      </c>
      <c r="N33" s="159">
        <v>1.4572962010537565</v>
      </c>
      <c r="O33" s="159">
        <v>1.4692042096819469</v>
      </c>
      <c r="P33" s="159">
        <v>1.4697230813190167</v>
      </c>
      <c r="Q33" s="160">
        <v>1.470243944055293</v>
      </c>
      <c r="R33" s="43"/>
      <c r="S33" s="43"/>
      <c r="T33" s="43"/>
      <c r="U33" s="43"/>
    </row>
    <row r="34" spans="3:21" ht="15.5" x14ac:dyDescent="0.35">
      <c r="C34" s="24" t="s">
        <v>3</v>
      </c>
      <c r="D34" s="158">
        <f t="shared" ca="1" si="0"/>
        <v>1.7024241867236372</v>
      </c>
      <c r="E34" s="159">
        <f t="shared" ca="1" si="0"/>
        <v>1.6968424944142322</v>
      </c>
      <c r="F34" s="159">
        <f t="shared" ca="1" si="0"/>
        <v>1.6914710140592455</v>
      </c>
      <c r="G34" s="159">
        <f t="shared" ref="G34:H34" ca="1" si="4">G13</f>
        <v>1.6862980899615121</v>
      </c>
      <c r="H34" s="159">
        <f t="shared" ca="1" si="4"/>
        <v>1.6813129124899506</v>
      </c>
      <c r="I34" s="159">
        <v>1.7013793533174582</v>
      </c>
      <c r="J34" s="159">
        <v>1.6912610564766528</v>
      </c>
      <c r="K34" s="159">
        <v>1.6796363781063846</v>
      </c>
      <c r="L34" s="159">
        <v>1.6694394572411517</v>
      </c>
      <c r="M34" s="159">
        <v>1.6678203993120375</v>
      </c>
      <c r="N34" s="159">
        <v>1.6668959093936071</v>
      </c>
      <c r="O34" s="159">
        <v>1.6254200929313203</v>
      </c>
      <c r="P34" s="159">
        <v>1.6261117166226247</v>
      </c>
      <c r="Q34" s="160">
        <v>1.6268059943256039</v>
      </c>
      <c r="R34" s="43"/>
      <c r="S34" s="43"/>
      <c r="T34" s="43"/>
      <c r="U34" s="43"/>
    </row>
    <row r="35" spans="3:21" ht="15.5" x14ac:dyDescent="0.35">
      <c r="C35" s="24" t="s">
        <v>4</v>
      </c>
      <c r="D35" s="158">
        <f t="shared" ca="1" si="0"/>
        <v>1.7238662822313953</v>
      </c>
      <c r="E35" s="159">
        <f t="shared" ca="1" si="0"/>
        <v>1.7183141292554476</v>
      </c>
      <c r="F35" s="159">
        <f t="shared" ca="1" si="0"/>
        <v>1.7128701296428521</v>
      </c>
      <c r="G35" s="159">
        <f t="shared" ref="G35:H35" ca="1" si="5">G14</f>
        <v>1.7075311537100111</v>
      </c>
      <c r="H35" s="159">
        <f t="shared" ca="1" si="5"/>
        <v>1.7022941913731457</v>
      </c>
      <c r="I35" s="159">
        <v>1.6591732961032399</v>
      </c>
      <c r="J35" s="159">
        <v>1.6221187091079685</v>
      </c>
      <c r="K35" s="159">
        <v>1.6060131453787043</v>
      </c>
      <c r="L35" s="159">
        <v>1.5855993990580257</v>
      </c>
      <c r="M35" s="159">
        <v>1.568953112913446</v>
      </c>
      <c r="N35" s="159">
        <v>1.5541798593479628</v>
      </c>
      <c r="O35" s="159">
        <v>1.6445115730064224</v>
      </c>
      <c r="P35" s="159">
        <v>1.6452243090989294</v>
      </c>
      <c r="Q35" s="160">
        <v>1.6459397802190741</v>
      </c>
      <c r="R35" s="43"/>
      <c r="S35" s="43"/>
      <c r="T35" s="43"/>
      <c r="U35" s="43"/>
    </row>
    <row r="36" spans="3:21" ht="15.5" x14ac:dyDescent="0.35">
      <c r="C36" s="24" t="s">
        <v>5</v>
      </c>
      <c r="D36" s="158">
        <f t="shared" ca="1" si="0"/>
        <v>1.6067598207277274</v>
      </c>
      <c r="E36" s="159">
        <f t="shared" ca="1" si="0"/>
        <v>1.6019670103093906</v>
      </c>
      <c r="F36" s="159">
        <f t="shared" ca="1" si="0"/>
        <v>1.5973398910798198</v>
      </c>
      <c r="G36" s="159">
        <f t="shared" ref="G36:H36" ca="1" si="6">G15</f>
        <v>1.5928700169232626</v>
      </c>
      <c r="H36" s="159">
        <f t="shared" ca="1" si="6"/>
        <v>1.5885495061876174</v>
      </c>
      <c r="I36" s="159">
        <v>1.5901465191446771</v>
      </c>
      <c r="J36" s="159">
        <v>1.5801718709976404</v>
      </c>
      <c r="K36" s="159">
        <v>1.5666385503870253</v>
      </c>
      <c r="L36" s="159">
        <v>1.5480570715521644</v>
      </c>
      <c r="M36" s="159">
        <v>1.5356337348975948</v>
      </c>
      <c r="N36" s="159">
        <v>1.5233892766271615</v>
      </c>
      <c r="O36" s="159">
        <v>1.5402430477751039</v>
      </c>
      <c r="P36" s="159">
        <v>1.5408404780385809</v>
      </c>
      <c r="Q36" s="160">
        <v>1.5414402008592887</v>
      </c>
      <c r="R36" s="43"/>
      <c r="S36" s="43"/>
      <c r="T36" s="43"/>
      <c r="U36" s="43"/>
    </row>
    <row r="37" spans="3:21" ht="15.5" x14ac:dyDescent="0.35">
      <c r="C37" s="24" t="s">
        <v>6</v>
      </c>
      <c r="D37" s="158">
        <f t="shared" ca="1" si="0"/>
        <v>1.7031076632918158</v>
      </c>
      <c r="E37" s="159">
        <f t="shared" ca="1" si="0"/>
        <v>1.6975143910137311</v>
      </c>
      <c r="F37" s="159">
        <f t="shared" ca="1" si="0"/>
        <v>1.6921349563185297</v>
      </c>
      <c r="G37" s="159">
        <f t="shared" ref="G37:H37" ca="1" si="7">G16</f>
        <v>1.6869573263169724</v>
      </c>
      <c r="H37" s="159">
        <f t="shared" ca="1" si="7"/>
        <v>1.68197035430383</v>
      </c>
      <c r="I37" s="159">
        <v>1.6504948587884576</v>
      </c>
      <c r="J37" s="159">
        <v>1.6049777362863964</v>
      </c>
      <c r="K37" s="159">
        <v>1.5818960399039637</v>
      </c>
      <c r="L37" s="159">
        <v>1.5728943244664624</v>
      </c>
      <c r="M37" s="159">
        <v>1.55140025704483</v>
      </c>
      <c r="N37" s="159">
        <v>1.5310833070469891</v>
      </c>
      <c r="O37" s="159">
        <v>1.626028642561111</v>
      </c>
      <c r="P37" s="159">
        <v>1.6267209392198274</v>
      </c>
      <c r="Q37" s="160">
        <v>1.6274158924726396</v>
      </c>
      <c r="R37" s="43"/>
      <c r="T37" s="43"/>
      <c r="U37" s="43"/>
    </row>
    <row r="38" spans="3:21" ht="15.5" x14ac:dyDescent="0.35">
      <c r="C38" s="24" t="s">
        <v>7</v>
      </c>
      <c r="D38" s="158">
        <f t="shared" ca="1" si="0"/>
        <v>1.4968686379367222</v>
      </c>
      <c r="E38" s="159">
        <f t="shared" ca="1" si="0"/>
        <v>1.4929770274690781</v>
      </c>
      <c r="F38" s="159">
        <f t="shared" ca="1" si="0"/>
        <v>1.4892029181459088</v>
      </c>
      <c r="G38" s="159">
        <f t="shared" ref="G38:H38" ca="1" si="8">G17</f>
        <v>1.4855410674645115</v>
      </c>
      <c r="H38" s="159">
        <f t="shared" ca="1" si="8"/>
        <v>1.481986540222217</v>
      </c>
      <c r="I38" s="159">
        <v>1.4713274519482145</v>
      </c>
      <c r="J38" s="159">
        <v>1.4520885840760815</v>
      </c>
      <c r="K38" s="159">
        <v>1.4388605400476375</v>
      </c>
      <c r="L38" s="159">
        <v>1.4334251972783514</v>
      </c>
      <c r="M38" s="159">
        <v>1.4307691747025193</v>
      </c>
      <c r="N38" s="159">
        <v>1.4290949763359644</v>
      </c>
      <c r="O38" s="159">
        <v>1.4423988176752602</v>
      </c>
      <c r="P38" s="159">
        <v>1.4428880464460776</v>
      </c>
      <c r="Q38" s="160">
        <v>1.4433791525656408</v>
      </c>
      <c r="R38" s="43"/>
      <c r="T38" s="43"/>
      <c r="U38" s="43"/>
    </row>
    <row r="39" spans="3:21" ht="15.5" x14ac:dyDescent="0.35">
      <c r="C39" s="24" t="s">
        <v>8</v>
      </c>
      <c r="D39" s="158">
        <f t="shared" ca="1" si="0"/>
        <v>1.5761670451525365</v>
      </c>
      <c r="E39" s="159">
        <f t="shared" ca="1" si="0"/>
        <v>1.5715570937345162</v>
      </c>
      <c r="F39" s="159">
        <f t="shared" ca="1" si="0"/>
        <v>1.5671336537045775</v>
      </c>
      <c r="G39" s="159">
        <f t="shared" ref="G39:H39" ca="1" si="9">G18</f>
        <v>1.5628856305594192</v>
      </c>
      <c r="H39" s="159">
        <f t="shared" ca="1" si="9"/>
        <v>1.5588027926195744</v>
      </c>
      <c r="I39" s="159">
        <v>1.5480129356406107</v>
      </c>
      <c r="J39" s="159">
        <v>1.525317066059015</v>
      </c>
      <c r="K39" s="159">
        <v>1.5061749934198168</v>
      </c>
      <c r="L39" s="159">
        <v>1.4907177016477329</v>
      </c>
      <c r="M39" s="159">
        <v>1.4771334533894842</v>
      </c>
      <c r="N39" s="159">
        <v>1.464609583469846</v>
      </c>
      <c r="O39" s="159">
        <v>1.5090208088609476</v>
      </c>
      <c r="P39" s="159">
        <v>1.5087972436101666</v>
      </c>
      <c r="Q39" s="160">
        <v>1.5082815531551872</v>
      </c>
      <c r="R39" s="43"/>
      <c r="T39" s="43"/>
      <c r="U39" s="43"/>
    </row>
    <row r="40" spans="3:21" ht="15.5" x14ac:dyDescent="0.35">
      <c r="C40" s="24" t="s">
        <v>9</v>
      </c>
      <c r="D40" s="158">
        <f t="shared" ca="1" si="0"/>
        <v>1.5223311720305397</v>
      </c>
      <c r="E40" s="159">
        <f t="shared" ca="1" si="0"/>
        <v>1.5182739138069752</v>
      </c>
      <c r="F40" s="159">
        <f t="shared" ca="1" si="0"/>
        <v>1.5143218751856868</v>
      </c>
      <c r="G40" s="159">
        <f t="shared" ref="G40:H40" ca="1" si="10">G19</f>
        <v>1.5104710154658647</v>
      </c>
      <c r="H40" s="159">
        <f t="shared" ca="1" si="10"/>
        <v>1.5067174982293166</v>
      </c>
      <c r="I40" s="159">
        <v>1.5033321479701527</v>
      </c>
      <c r="J40" s="159">
        <v>1.4912416622149325</v>
      </c>
      <c r="K40" s="159">
        <v>1.488577728805841</v>
      </c>
      <c r="L40" s="159">
        <v>1.4826908285607339</v>
      </c>
      <c r="M40" s="159">
        <v>1.4736968813742013</v>
      </c>
      <c r="N40" s="159">
        <v>1.4645004550296519</v>
      </c>
      <c r="O40" s="159">
        <v>1.4650699909352545</v>
      </c>
      <c r="P40" s="159">
        <v>1.4655842907274756</v>
      </c>
      <c r="Q40" s="160">
        <v>1.4661005640750713</v>
      </c>
      <c r="R40" s="43"/>
      <c r="T40" s="43"/>
      <c r="U40" s="43"/>
    </row>
    <row r="41" spans="3:21" ht="15.5" x14ac:dyDescent="0.35">
      <c r="C41" s="24" t="s">
        <v>10</v>
      </c>
      <c r="D41" s="158">
        <f t="shared" ca="1" si="0"/>
        <v>1.708901248114826</v>
      </c>
      <c r="E41" s="159">
        <f t="shared" ca="1" si="0"/>
        <v>1.7036622099487997</v>
      </c>
      <c r="F41" s="159">
        <f t="shared" ca="1" si="0"/>
        <v>1.6984269207779232</v>
      </c>
      <c r="G41" s="159">
        <f t="shared" ref="G41:H41" ca="1" si="11">G20</f>
        <v>1.6931953765795289</v>
      </c>
      <c r="H41" s="159">
        <f t="shared" ca="1" si="11"/>
        <v>1.687967573336703</v>
      </c>
      <c r="I41" s="159">
        <v>1.6933838571399633</v>
      </c>
      <c r="J41" s="159">
        <v>1.6733777850714218</v>
      </c>
      <c r="K41" s="159">
        <v>1.6803553918789138</v>
      </c>
      <c r="L41" s="159">
        <v>1.6700862158789547</v>
      </c>
      <c r="M41" s="159">
        <v>1.6430324095322726</v>
      </c>
      <c r="N41" s="159">
        <v>1.6151863435110796</v>
      </c>
      <c r="O41" s="159">
        <v>1.6311870987004324</v>
      </c>
      <c r="P41" s="159">
        <v>1.631885099861637</v>
      </c>
      <c r="Q41" s="160">
        <v>1.6325857795071888</v>
      </c>
      <c r="R41" s="43"/>
      <c r="T41" s="43"/>
      <c r="U41" s="43"/>
    </row>
    <row r="42" spans="3:21" ht="15.5" x14ac:dyDescent="0.35">
      <c r="C42" s="24" t="s">
        <v>11</v>
      </c>
      <c r="D42" s="158">
        <f t="shared" ca="1" si="0"/>
        <v>1.5384403921269905</v>
      </c>
      <c r="E42" s="159">
        <f t="shared" ca="1" si="0"/>
        <v>1.5340281008491665</v>
      </c>
      <c r="F42" s="159">
        <f t="shared" ca="1" si="0"/>
        <v>1.5298528402661384</v>
      </c>
      <c r="G42" s="159">
        <f t="shared" ref="G42:H42" ca="1" si="12">G21</f>
        <v>1.525896009865374</v>
      </c>
      <c r="H42" s="159">
        <f t="shared" ca="1" si="12"/>
        <v>1.5221409057086952</v>
      </c>
      <c r="I42" s="159">
        <v>1.5107449600722338</v>
      </c>
      <c r="J42" s="159">
        <v>1.4940673121932373</v>
      </c>
      <c r="K42" s="159">
        <v>1.4832812931206023</v>
      </c>
      <c r="L42" s="159">
        <v>1.4725368041433726</v>
      </c>
      <c r="M42" s="159">
        <v>1.4655308014608404</v>
      </c>
      <c r="N42" s="159">
        <v>1.4587439314049018</v>
      </c>
      <c r="O42" s="159">
        <v>1.4794132184610134</v>
      </c>
      <c r="P42" s="159">
        <v>1.4799433797774786</v>
      </c>
      <c r="Q42" s="160">
        <v>1.4804755755157557</v>
      </c>
      <c r="R42" s="43"/>
      <c r="T42" s="43"/>
      <c r="U42" s="43"/>
    </row>
    <row r="43" spans="3:21" ht="15.5" x14ac:dyDescent="0.35">
      <c r="C43" s="24" t="s">
        <v>12</v>
      </c>
      <c r="D43" s="158">
        <f t="shared" ca="1" si="0"/>
        <v>1.7124125676570066</v>
      </c>
      <c r="E43" s="159">
        <f t="shared" ca="1" si="0"/>
        <v>1.7065847837568688</v>
      </c>
      <c r="F43" s="159">
        <f t="shared" ca="1" si="0"/>
        <v>1.7010647491760846</v>
      </c>
      <c r="G43" s="159">
        <f t="shared" ref="G43:H43" ca="1" si="13">G22</f>
        <v>1.6958287139021928</v>
      </c>
      <c r="H43" s="159">
        <f t="shared" ca="1" si="13"/>
        <v>1.6908553104540938</v>
      </c>
      <c r="I43" s="159">
        <v>1.6850071051892075</v>
      </c>
      <c r="J43" s="159">
        <v>1.660259636222049</v>
      </c>
      <c r="K43" s="159">
        <v>1.6481747900836208</v>
      </c>
      <c r="L43" s="159">
        <v>1.627584316065025</v>
      </c>
      <c r="M43" s="159">
        <v>1.6124895350517412</v>
      </c>
      <c r="N43" s="159">
        <v>1.5967858956901462</v>
      </c>
      <c r="O43" s="159">
        <v>1.6343134856271488</v>
      </c>
      <c r="P43" s="159">
        <v>1.6350149441177411</v>
      </c>
      <c r="Q43" s="160">
        <v>1.6357190943597104</v>
      </c>
      <c r="R43" s="43"/>
      <c r="T43" s="43"/>
      <c r="U43" s="43"/>
    </row>
    <row r="44" spans="3:21" ht="16" thickBot="1" x14ac:dyDescent="0.4">
      <c r="C44" s="25" t="s">
        <v>13</v>
      </c>
      <c r="D44" s="161">
        <f t="shared" ca="1" si="0"/>
        <v>1.5788035894729133</v>
      </c>
      <c r="E44" s="162">
        <f t="shared" ca="1" si="0"/>
        <v>1.5743592545783958</v>
      </c>
      <c r="F44" s="162">
        <f t="shared" ca="1" si="0"/>
        <v>1.5700039579003957</v>
      </c>
      <c r="G44" s="162">
        <f t="shared" ref="G44:H44" ca="1" si="14">G23</f>
        <v>1.5657350502758987</v>
      </c>
      <c r="H44" s="162">
        <f t="shared" ca="1" si="14"/>
        <v>1.5615499866042493</v>
      </c>
      <c r="I44" s="162">
        <v>1.5517228268607033</v>
      </c>
      <c r="J44" s="162">
        <v>1.5387623191104789</v>
      </c>
      <c r="K44" s="162">
        <v>1.5310256855774882</v>
      </c>
      <c r="L44" s="162">
        <v>1.5169545242495406</v>
      </c>
      <c r="M44" s="162">
        <v>1.5021928364597563</v>
      </c>
      <c r="N44" s="162">
        <v>1.4862752197995954</v>
      </c>
      <c r="O44" s="162">
        <v>1.5153515518957423</v>
      </c>
      <c r="P44" s="162">
        <v>1.515921455783817</v>
      </c>
      <c r="Q44" s="163">
        <v>1.5164935466004075</v>
      </c>
      <c r="R44" s="43"/>
      <c r="T44" s="43"/>
      <c r="U44" s="43"/>
    </row>
    <row r="45" spans="3:21" ht="19.5" customHeight="1" thickTop="1" x14ac:dyDescent="0.35">
      <c r="C45" s="130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43"/>
      <c r="T45" s="43"/>
      <c r="U45" s="43"/>
    </row>
    <row r="47" spans="3:21" ht="13" thickBot="1" x14ac:dyDescent="0.3"/>
    <row r="48" spans="3:21" ht="16" thickTop="1" x14ac:dyDescent="0.35">
      <c r="C48" s="32" t="s">
        <v>165</v>
      </c>
      <c r="D48" s="34"/>
      <c r="E48" s="33"/>
      <c r="F48" s="33"/>
      <c r="G48" s="33"/>
      <c r="H48" s="33"/>
      <c r="I48" s="34"/>
      <c r="J48" s="34"/>
      <c r="K48" s="34"/>
      <c r="L48" s="34"/>
      <c r="M48" s="34"/>
      <c r="N48" s="34"/>
      <c r="O48" s="34"/>
      <c r="P48" s="34"/>
      <c r="Q48" s="35"/>
    </row>
    <row r="49" spans="3:18" ht="13.5" thickBot="1" x14ac:dyDescent="0.35">
      <c r="C49" s="18"/>
      <c r="D49" s="65" t="s">
        <v>25</v>
      </c>
      <c r="E49" s="65" t="s">
        <v>37</v>
      </c>
      <c r="F49" s="65" t="s">
        <v>38</v>
      </c>
      <c r="G49" s="37" t="s">
        <v>177</v>
      </c>
      <c r="H49" s="37" t="s">
        <v>178</v>
      </c>
      <c r="I49" s="65" t="s">
        <v>26</v>
      </c>
      <c r="J49" s="65" t="s">
        <v>27</v>
      </c>
      <c r="K49" s="65" t="s">
        <v>28</v>
      </c>
      <c r="L49" s="65" t="s">
        <v>29</v>
      </c>
      <c r="M49" s="65" t="s">
        <v>30</v>
      </c>
      <c r="N49" s="65" t="s">
        <v>31</v>
      </c>
      <c r="O49" s="37" t="s">
        <v>174</v>
      </c>
      <c r="P49" s="37" t="s">
        <v>175</v>
      </c>
      <c r="Q49" s="38" t="s">
        <v>176</v>
      </c>
    </row>
    <row r="50" spans="3:18" ht="14" thickTop="1" thickBot="1" x14ac:dyDescent="0.35">
      <c r="C50" s="70"/>
      <c r="D50" s="71" t="s">
        <v>39</v>
      </c>
      <c r="E50" s="71" t="s">
        <v>39</v>
      </c>
      <c r="F50" s="71" t="s">
        <v>39</v>
      </c>
      <c r="G50" s="65" t="s">
        <v>39</v>
      </c>
      <c r="H50" s="65" t="s">
        <v>39</v>
      </c>
      <c r="I50" s="71" t="s">
        <v>39</v>
      </c>
      <c r="J50" s="71" t="s">
        <v>32</v>
      </c>
      <c r="K50" s="71" t="s">
        <v>32</v>
      </c>
      <c r="L50" s="71" t="s">
        <v>32</v>
      </c>
      <c r="M50" s="71" t="s">
        <v>32</v>
      </c>
      <c r="N50" s="71" t="s">
        <v>32</v>
      </c>
      <c r="O50" s="65" t="s">
        <v>32</v>
      </c>
      <c r="P50" s="65" t="s">
        <v>32</v>
      </c>
      <c r="Q50" s="66" t="s">
        <v>32</v>
      </c>
      <c r="R50" s="176"/>
    </row>
    <row r="51" spans="3:18" ht="16" thickTop="1" x14ac:dyDescent="0.35">
      <c r="C51" s="24" t="s">
        <v>0</v>
      </c>
      <c r="D51" s="79">
        <f ca="1">D10</f>
        <v>1.6587105725502904</v>
      </c>
      <c r="E51" s="80">
        <f t="shared" ref="E51:F64" ca="1" si="15">E10</f>
        <v>1.6534613068208053</v>
      </c>
      <c r="F51" s="80">
        <f t="shared" ca="1" si="15"/>
        <v>1.6484174911379252</v>
      </c>
      <c r="G51" s="80">
        <f t="shared" ref="G51:H51" ca="1" si="16">G10</f>
        <v>1.6435672954022729</v>
      </c>
      <c r="H51" s="80">
        <f t="shared" ca="1" si="16"/>
        <v>1.6388997806679484</v>
      </c>
      <c r="I51" s="164">
        <v>1.6275615032577166</v>
      </c>
      <c r="J51" s="164">
        <v>1.6075849407174667</v>
      </c>
      <c r="K51" s="164">
        <v>1.5936200508709952</v>
      </c>
      <c r="L51" s="164">
        <v>1.5769148663480468</v>
      </c>
      <c r="M51" s="164">
        <v>1.5660410356635825</v>
      </c>
      <c r="N51" s="156">
        <v>1.555734158183574</v>
      </c>
      <c r="O51" s="156">
        <v>1.5864986361315778</v>
      </c>
      <c r="P51" s="156">
        <v>1.5871472183505546</v>
      </c>
      <c r="Q51" s="157">
        <v>1.5877982894154219</v>
      </c>
      <c r="R51" s="176"/>
    </row>
    <row r="52" spans="3:18" ht="15.5" x14ac:dyDescent="0.35">
      <c r="C52" s="24" t="s">
        <v>1</v>
      </c>
      <c r="D52" s="81">
        <f t="shared" ref="D52" ca="1" si="17">D11</f>
        <v>1.5135908407438097</v>
      </c>
      <c r="E52" s="82">
        <f t="shared" ca="1" si="15"/>
        <v>1.5090257328210044</v>
      </c>
      <c r="F52" s="82">
        <f t="shared" ca="1" si="15"/>
        <v>1.5046779018517182</v>
      </c>
      <c r="G52" s="82">
        <f t="shared" ref="G52:H52" ca="1" si="18">G11</f>
        <v>1.5005321964122875</v>
      </c>
      <c r="H52" s="82">
        <f t="shared" ca="1" si="18"/>
        <v>1.4965748418210971</v>
      </c>
      <c r="I52" s="165">
        <v>1.4919853178926559</v>
      </c>
      <c r="J52" s="165">
        <v>1.4808193656889841</v>
      </c>
      <c r="K52" s="165">
        <v>1.4770262598122381</v>
      </c>
      <c r="L52" s="165">
        <v>1.4679238148723237</v>
      </c>
      <c r="M52" s="165">
        <v>1.4610974828652314</v>
      </c>
      <c r="N52" s="159">
        <v>1.45445616662189</v>
      </c>
      <c r="O52" s="159">
        <v>1.4327485775117685</v>
      </c>
      <c r="P52" s="159">
        <v>1.4309455835644769</v>
      </c>
      <c r="Q52" s="160">
        <v>1.4286972377996043</v>
      </c>
      <c r="R52" s="176"/>
    </row>
    <row r="53" spans="3:18" ht="15.5" x14ac:dyDescent="0.35">
      <c r="C53" s="24" t="s">
        <v>2</v>
      </c>
      <c r="D53" s="81">
        <f t="shared" ref="D53" ca="1" si="19">D12</f>
        <v>1.5269744114686463</v>
      </c>
      <c r="E53" s="82">
        <f t="shared" ca="1" si="15"/>
        <v>1.5227371874402222</v>
      </c>
      <c r="F53" s="82">
        <f t="shared" ca="1" si="15"/>
        <v>1.5186855319630836</v>
      </c>
      <c r="G53" s="82">
        <f t="shared" ref="G53:H53" ca="1" si="20">G12</f>
        <v>1.5148075158382055</v>
      </c>
      <c r="H53" s="82">
        <f t="shared" ca="1" si="20"/>
        <v>1.5110922109011538</v>
      </c>
      <c r="I53" s="165">
        <v>1.5077306709585929</v>
      </c>
      <c r="J53" s="165">
        <v>1.4942840716146135</v>
      </c>
      <c r="K53" s="165">
        <v>1.4814652066732081</v>
      </c>
      <c r="L53" s="165">
        <v>1.4724678495598098</v>
      </c>
      <c r="M53" s="165">
        <v>1.464833535786338</v>
      </c>
      <c r="N53" s="159">
        <v>1.4572962010537565</v>
      </c>
      <c r="O53" s="159">
        <v>1.4692042096819469</v>
      </c>
      <c r="P53" s="159">
        <v>1.4697230813190167</v>
      </c>
      <c r="Q53" s="160">
        <v>1.470243944055293</v>
      </c>
      <c r="R53" s="176"/>
    </row>
    <row r="54" spans="3:18" ht="15.5" x14ac:dyDescent="0.35">
      <c r="C54" s="24" t="s">
        <v>3</v>
      </c>
      <c r="D54" s="81">
        <f t="shared" ref="D54" ca="1" si="21">D13</f>
        <v>1.7024241867236372</v>
      </c>
      <c r="E54" s="82">
        <f t="shared" ca="1" si="15"/>
        <v>1.6968424944142322</v>
      </c>
      <c r="F54" s="82">
        <f t="shared" ca="1" si="15"/>
        <v>1.6914710140592455</v>
      </c>
      <c r="G54" s="82">
        <f t="shared" ref="G54:H54" ca="1" si="22">G13</f>
        <v>1.6862980899615121</v>
      </c>
      <c r="H54" s="82">
        <f t="shared" ca="1" si="22"/>
        <v>1.6813129124899506</v>
      </c>
      <c r="I54" s="165">
        <v>1.7013793533174582</v>
      </c>
      <c r="J54" s="165">
        <v>1.6912610564766528</v>
      </c>
      <c r="K54" s="165">
        <v>1.6796363781063846</v>
      </c>
      <c r="L54" s="165">
        <v>1.6694394572411517</v>
      </c>
      <c r="M54" s="165">
        <v>1.6678203993120375</v>
      </c>
      <c r="N54" s="159">
        <v>1.6668959093936071</v>
      </c>
      <c r="O54" s="159">
        <v>1.6254200929313203</v>
      </c>
      <c r="P54" s="159">
        <v>1.6261117166226247</v>
      </c>
      <c r="Q54" s="160">
        <v>1.6268059943256039</v>
      </c>
      <c r="R54" s="176"/>
    </row>
    <row r="55" spans="3:18" ht="15.5" x14ac:dyDescent="0.35">
      <c r="C55" s="24" t="s">
        <v>4</v>
      </c>
      <c r="D55" s="81">
        <f t="shared" ref="D55" ca="1" si="23">D14</f>
        <v>1.7238662822313953</v>
      </c>
      <c r="E55" s="82">
        <f t="shared" ca="1" si="15"/>
        <v>1.7183141292554476</v>
      </c>
      <c r="F55" s="82">
        <f t="shared" ca="1" si="15"/>
        <v>1.7128701296428521</v>
      </c>
      <c r="G55" s="82">
        <f t="shared" ref="G55:H55" ca="1" si="24">G14</f>
        <v>1.7075311537100111</v>
      </c>
      <c r="H55" s="82">
        <f t="shared" ca="1" si="24"/>
        <v>1.7022941913731457</v>
      </c>
      <c r="I55" s="165">
        <v>1.6591732961032399</v>
      </c>
      <c r="J55" s="165">
        <v>1.6221187091079685</v>
      </c>
      <c r="K55" s="165">
        <v>1.6060131453787043</v>
      </c>
      <c r="L55" s="165">
        <v>1.5855993990580257</v>
      </c>
      <c r="M55" s="165">
        <v>1.568953112913446</v>
      </c>
      <c r="N55" s="159">
        <v>1.5541798593479628</v>
      </c>
      <c r="O55" s="159">
        <v>1.6445115730064224</v>
      </c>
      <c r="P55" s="159">
        <v>1.6452243090989294</v>
      </c>
      <c r="Q55" s="160">
        <v>1.6459397802190741</v>
      </c>
      <c r="R55" s="176"/>
    </row>
    <row r="56" spans="3:18" ht="15.5" x14ac:dyDescent="0.35">
      <c r="C56" s="24" t="s">
        <v>5</v>
      </c>
      <c r="D56" s="81">
        <f t="shared" ref="D56" ca="1" si="25">D15</f>
        <v>1.6067598207277274</v>
      </c>
      <c r="E56" s="82">
        <f t="shared" ca="1" si="15"/>
        <v>1.6019670103093906</v>
      </c>
      <c r="F56" s="82">
        <f t="shared" ca="1" si="15"/>
        <v>1.5973398910798198</v>
      </c>
      <c r="G56" s="82">
        <f t="shared" ref="G56:H56" ca="1" si="26">G15</f>
        <v>1.5928700169232626</v>
      </c>
      <c r="H56" s="82">
        <f t="shared" ca="1" si="26"/>
        <v>1.5885495061876174</v>
      </c>
      <c r="I56" s="165">
        <v>1.5901465191446771</v>
      </c>
      <c r="J56" s="165">
        <v>1.5801718709976404</v>
      </c>
      <c r="K56" s="165">
        <v>1.5666385503870253</v>
      </c>
      <c r="L56" s="165">
        <v>1.5480570715521644</v>
      </c>
      <c r="M56" s="165">
        <v>1.5356337348975948</v>
      </c>
      <c r="N56" s="159">
        <v>1.5233892766271615</v>
      </c>
      <c r="O56" s="159">
        <v>1.5402430477751039</v>
      </c>
      <c r="P56" s="159">
        <v>1.5408404780385809</v>
      </c>
      <c r="Q56" s="160">
        <v>1.5414402008592887</v>
      </c>
      <c r="R56" s="176"/>
    </row>
    <row r="57" spans="3:18" ht="15.5" x14ac:dyDescent="0.35">
      <c r="C57" s="24" t="s">
        <v>6</v>
      </c>
      <c r="D57" s="81">
        <f t="shared" ref="D57" ca="1" si="27">D16</f>
        <v>1.7031076632918158</v>
      </c>
      <c r="E57" s="82">
        <f t="shared" ca="1" si="15"/>
        <v>1.6975143910137311</v>
      </c>
      <c r="F57" s="82">
        <f t="shared" ca="1" si="15"/>
        <v>1.6921349563185297</v>
      </c>
      <c r="G57" s="82">
        <f t="shared" ref="G57:H57" ca="1" si="28">G16</f>
        <v>1.6869573263169724</v>
      </c>
      <c r="H57" s="82">
        <f t="shared" ca="1" si="28"/>
        <v>1.68197035430383</v>
      </c>
      <c r="I57" s="165">
        <v>1.6504948587884576</v>
      </c>
      <c r="J57" s="165">
        <v>1.6049777362863964</v>
      </c>
      <c r="K57" s="165">
        <v>1.5818960399039637</v>
      </c>
      <c r="L57" s="165">
        <v>1.5728943244664624</v>
      </c>
      <c r="M57" s="165">
        <v>1.55140025704483</v>
      </c>
      <c r="N57" s="159">
        <v>1.5310833070469891</v>
      </c>
      <c r="O57" s="159">
        <v>1.626028642561111</v>
      </c>
      <c r="P57" s="159">
        <v>1.6267209392198274</v>
      </c>
      <c r="Q57" s="160">
        <v>1.6274158924726396</v>
      </c>
      <c r="R57" s="176"/>
    </row>
    <row r="58" spans="3:18" ht="15.5" x14ac:dyDescent="0.35">
      <c r="C58" s="24" t="s">
        <v>7</v>
      </c>
      <c r="D58" s="81">
        <f t="shared" ref="D58" ca="1" si="29">D17</f>
        <v>1.4968686379367222</v>
      </c>
      <c r="E58" s="82">
        <f t="shared" ca="1" si="15"/>
        <v>1.4929770274690781</v>
      </c>
      <c r="F58" s="82">
        <f t="shared" ca="1" si="15"/>
        <v>1.4892029181459088</v>
      </c>
      <c r="G58" s="82">
        <f t="shared" ref="G58:H58" ca="1" si="30">G17</f>
        <v>1.4855410674645115</v>
      </c>
      <c r="H58" s="82">
        <f t="shared" ca="1" si="30"/>
        <v>1.481986540222217</v>
      </c>
      <c r="I58" s="165">
        <v>1.4713274519482145</v>
      </c>
      <c r="J58" s="165">
        <v>1.4520885840760815</v>
      </c>
      <c r="K58" s="165">
        <v>1.4388605400476375</v>
      </c>
      <c r="L58" s="165">
        <v>1.4334251972783514</v>
      </c>
      <c r="M58" s="165">
        <v>1.4307691747025193</v>
      </c>
      <c r="N58" s="159">
        <v>1.4290949763359644</v>
      </c>
      <c r="O58" s="159">
        <v>1.4423988176752602</v>
      </c>
      <c r="P58" s="159">
        <v>1.4428880464460776</v>
      </c>
      <c r="Q58" s="160">
        <v>1.4433791525656408</v>
      </c>
      <c r="R58" s="176"/>
    </row>
    <row r="59" spans="3:18" ht="15.5" x14ac:dyDescent="0.35">
      <c r="C59" s="24" t="s">
        <v>8</v>
      </c>
      <c r="D59" s="81">
        <f t="shared" ref="D59" ca="1" si="31">D18</f>
        <v>1.5761670451525365</v>
      </c>
      <c r="E59" s="82">
        <f t="shared" ca="1" si="15"/>
        <v>1.5715570937345162</v>
      </c>
      <c r="F59" s="82">
        <f t="shared" ca="1" si="15"/>
        <v>1.5671336537045775</v>
      </c>
      <c r="G59" s="82">
        <f t="shared" ref="G59:H59" ca="1" si="32">G18</f>
        <v>1.5628856305594192</v>
      </c>
      <c r="H59" s="82">
        <f t="shared" ca="1" si="32"/>
        <v>1.5588027926195744</v>
      </c>
      <c r="I59" s="165">
        <v>1.5480129356406107</v>
      </c>
      <c r="J59" s="165">
        <v>1.525317066059015</v>
      </c>
      <c r="K59" s="165">
        <v>1.5061749934198168</v>
      </c>
      <c r="L59" s="165">
        <v>1.4907177016477329</v>
      </c>
      <c r="M59" s="165">
        <v>1.4771334533894842</v>
      </c>
      <c r="N59" s="159">
        <v>1.464609583469846</v>
      </c>
      <c r="O59" s="159">
        <v>1.5090208088609476</v>
      </c>
      <c r="P59" s="159">
        <v>1.5087972436101666</v>
      </c>
      <c r="Q59" s="160">
        <v>1.5082815531551872</v>
      </c>
    </row>
    <row r="60" spans="3:18" ht="15.5" x14ac:dyDescent="0.35">
      <c r="C60" s="24" t="s">
        <v>9</v>
      </c>
      <c r="D60" s="81">
        <f t="shared" ref="D60" ca="1" si="33">D19</f>
        <v>1.5223311720305397</v>
      </c>
      <c r="E60" s="82">
        <f t="shared" ca="1" si="15"/>
        <v>1.5182739138069752</v>
      </c>
      <c r="F60" s="82">
        <f t="shared" ca="1" si="15"/>
        <v>1.5143218751856868</v>
      </c>
      <c r="G60" s="82">
        <f t="shared" ref="G60:H60" ca="1" si="34">G19</f>
        <v>1.5104710154658647</v>
      </c>
      <c r="H60" s="82">
        <f t="shared" ca="1" si="34"/>
        <v>1.5067174982293166</v>
      </c>
      <c r="I60" s="165">
        <v>1.5033321479701527</v>
      </c>
      <c r="J60" s="165">
        <v>1.4912416622149325</v>
      </c>
      <c r="K60" s="165">
        <v>1.488577728805841</v>
      </c>
      <c r="L60" s="165">
        <v>1.4826908285607339</v>
      </c>
      <c r="M60" s="165">
        <v>1.4736968813742013</v>
      </c>
      <c r="N60" s="159">
        <v>1.4645004550296519</v>
      </c>
      <c r="O60" s="159">
        <v>1.4650699909352545</v>
      </c>
      <c r="P60" s="159">
        <v>1.4655842907274756</v>
      </c>
      <c r="Q60" s="160">
        <v>1.4661005640750713</v>
      </c>
    </row>
    <row r="61" spans="3:18" ht="15.5" x14ac:dyDescent="0.35">
      <c r="C61" s="24" t="s">
        <v>10</v>
      </c>
      <c r="D61" s="81">
        <f t="shared" ref="D61" ca="1" si="35">D20</f>
        <v>1.708901248114826</v>
      </c>
      <c r="E61" s="82">
        <f t="shared" ca="1" si="15"/>
        <v>1.7036622099487997</v>
      </c>
      <c r="F61" s="82">
        <f t="shared" ca="1" si="15"/>
        <v>1.6984269207779232</v>
      </c>
      <c r="G61" s="82">
        <f t="shared" ref="G61:H61" ca="1" si="36">G20</f>
        <v>1.6931953765795289</v>
      </c>
      <c r="H61" s="82">
        <f t="shared" ca="1" si="36"/>
        <v>1.687967573336703</v>
      </c>
      <c r="I61" s="165">
        <v>1.6933838571399633</v>
      </c>
      <c r="J61" s="165">
        <v>1.6733777850714218</v>
      </c>
      <c r="K61" s="165">
        <v>1.6803553918789138</v>
      </c>
      <c r="L61" s="165">
        <v>1.6700862158789547</v>
      </c>
      <c r="M61" s="165">
        <v>1.6430324095322726</v>
      </c>
      <c r="N61" s="159">
        <v>1.6151863435110796</v>
      </c>
      <c r="O61" s="159">
        <v>1.6311870987004324</v>
      </c>
      <c r="P61" s="159">
        <v>1.631885099861637</v>
      </c>
      <c r="Q61" s="160">
        <v>1.6325857795071888</v>
      </c>
    </row>
    <row r="62" spans="3:18" ht="15.5" x14ac:dyDescent="0.35">
      <c r="C62" s="24" t="s">
        <v>11</v>
      </c>
      <c r="D62" s="81">
        <f t="shared" ref="D62" ca="1" si="37">D21</f>
        <v>1.5384403921269905</v>
      </c>
      <c r="E62" s="82">
        <f t="shared" ca="1" si="15"/>
        <v>1.5340281008491665</v>
      </c>
      <c r="F62" s="82">
        <f t="shared" ca="1" si="15"/>
        <v>1.5298528402661384</v>
      </c>
      <c r="G62" s="82">
        <f t="shared" ref="G62:H62" ca="1" si="38">G21</f>
        <v>1.525896009865374</v>
      </c>
      <c r="H62" s="82">
        <f t="shared" ca="1" si="38"/>
        <v>1.5221409057086952</v>
      </c>
      <c r="I62" s="165">
        <v>1.5107449600722338</v>
      </c>
      <c r="J62" s="165">
        <v>1.4940673121932373</v>
      </c>
      <c r="K62" s="165">
        <v>1.4832812931206023</v>
      </c>
      <c r="L62" s="165">
        <v>1.4725368041433726</v>
      </c>
      <c r="M62" s="165">
        <v>1.4655308014608404</v>
      </c>
      <c r="N62" s="159">
        <v>1.4587439314049018</v>
      </c>
      <c r="O62" s="159">
        <v>1.4794132184610134</v>
      </c>
      <c r="P62" s="159">
        <v>1.4799433797774786</v>
      </c>
      <c r="Q62" s="160">
        <v>1.4804755755157557</v>
      </c>
    </row>
    <row r="63" spans="3:18" ht="15.5" x14ac:dyDescent="0.35">
      <c r="C63" s="24" t="s">
        <v>12</v>
      </c>
      <c r="D63" s="81">
        <f t="shared" ref="D63" ca="1" si="39">D22</f>
        <v>1.7124125676570066</v>
      </c>
      <c r="E63" s="82">
        <f t="shared" ca="1" si="15"/>
        <v>1.7065847837568688</v>
      </c>
      <c r="F63" s="82">
        <f t="shared" ca="1" si="15"/>
        <v>1.7010647491760846</v>
      </c>
      <c r="G63" s="82">
        <f t="shared" ref="G63:H63" ca="1" si="40">G22</f>
        <v>1.6958287139021928</v>
      </c>
      <c r="H63" s="82">
        <f t="shared" ca="1" si="40"/>
        <v>1.6908553104540938</v>
      </c>
      <c r="I63" s="165">
        <v>1.6850071051892075</v>
      </c>
      <c r="J63" s="165">
        <v>1.660259636222049</v>
      </c>
      <c r="K63" s="165">
        <v>1.6481747900836208</v>
      </c>
      <c r="L63" s="165">
        <v>1.627584316065025</v>
      </c>
      <c r="M63" s="165">
        <v>1.6124895350517412</v>
      </c>
      <c r="N63" s="159">
        <v>1.5967858956901462</v>
      </c>
      <c r="O63" s="159">
        <v>1.6343134856271488</v>
      </c>
      <c r="P63" s="159">
        <v>1.6350149441177411</v>
      </c>
      <c r="Q63" s="160">
        <v>1.6357190943597104</v>
      </c>
    </row>
    <row r="64" spans="3:18" ht="16" thickBot="1" x14ac:dyDescent="0.4">
      <c r="C64" s="25" t="s">
        <v>13</v>
      </c>
      <c r="D64" s="76">
        <f t="shared" ref="D64" ca="1" si="41">D23</f>
        <v>1.5788035894729133</v>
      </c>
      <c r="E64" s="77">
        <f t="shared" ca="1" si="15"/>
        <v>1.5743592545783958</v>
      </c>
      <c r="F64" s="77">
        <f t="shared" ca="1" si="15"/>
        <v>1.5700039579003957</v>
      </c>
      <c r="G64" s="77">
        <f t="shared" ref="G64:H64" ca="1" si="42">G23</f>
        <v>1.5657350502758987</v>
      </c>
      <c r="H64" s="77">
        <f t="shared" ca="1" si="42"/>
        <v>1.5615499866042493</v>
      </c>
      <c r="I64" s="166">
        <v>1.5517228268607033</v>
      </c>
      <c r="J64" s="166">
        <v>1.5387623191104789</v>
      </c>
      <c r="K64" s="166">
        <v>1.5310256855774882</v>
      </c>
      <c r="L64" s="166">
        <v>1.5169545242495406</v>
      </c>
      <c r="M64" s="166">
        <v>1.5021928364597563</v>
      </c>
      <c r="N64" s="162">
        <v>1.4862752197995954</v>
      </c>
      <c r="O64" s="162">
        <v>1.5153515518957423</v>
      </c>
      <c r="P64" s="162">
        <v>1.515921455783817</v>
      </c>
      <c r="Q64" s="163">
        <v>1.5164935466004075</v>
      </c>
    </row>
    <row r="65" spans="3:17" ht="13" thickTop="1" x14ac:dyDescent="0.25">
      <c r="O65" s="155"/>
      <c r="P65" s="155"/>
      <c r="Q65" s="155"/>
    </row>
    <row r="66" spans="3:17" ht="13" thickBot="1" x14ac:dyDescent="0.3"/>
    <row r="67" spans="3:17" ht="16" thickTop="1" x14ac:dyDescent="0.35">
      <c r="C67" s="32" t="s">
        <v>156</v>
      </c>
      <c r="D67" s="34"/>
      <c r="E67" s="33"/>
      <c r="F67" s="33"/>
      <c r="G67" s="33"/>
      <c r="H67" s="33"/>
      <c r="I67" s="34"/>
      <c r="J67" s="34"/>
      <c r="K67" s="34"/>
      <c r="L67" s="34"/>
      <c r="M67" s="34"/>
      <c r="N67" s="34"/>
      <c r="O67" s="34"/>
      <c r="P67" s="34"/>
      <c r="Q67" s="35"/>
    </row>
    <row r="68" spans="3:17" ht="13.5" thickBot="1" x14ac:dyDescent="0.35">
      <c r="C68" s="18"/>
      <c r="D68" s="65" t="s">
        <v>25</v>
      </c>
      <c r="E68" s="65" t="s">
        <v>37</v>
      </c>
      <c r="F68" s="65" t="s">
        <v>38</v>
      </c>
      <c r="G68" s="37" t="s">
        <v>177</v>
      </c>
      <c r="H68" s="37" t="s">
        <v>178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  <c r="N68" s="65" t="s">
        <v>31</v>
      </c>
      <c r="O68" s="37" t="s">
        <v>174</v>
      </c>
      <c r="P68" s="37" t="s">
        <v>175</v>
      </c>
      <c r="Q68" s="38" t="s">
        <v>176</v>
      </c>
    </row>
    <row r="69" spans="3:17" ht="14" thickTop="1" thickBot="1" x14ac:dyDescent="0.35">
      <c r="C69" s="70"/>
      <c r="D69" s="71" t="s">
        <v>39</v>
      </c>
      <c r="E69" s="71" t="s">
        <v>39</v>
      </c>
      <c r="F69" s="71" t="s">
        <v>39</v>
      </c>
      <c r="G69" s="65" t="s">
        <v>39</v>
      </c>
      <c r="H69" s="65" t="s">
        <v>39</v>
      </c>
      <c r="I69" s="71" t="s">
        <v>39</v>
      </c>
      <c r="J69" s="71" t="s">
        <v>32</v>
      </c>
      <c r="K69" s="71" t="s">
        <v>32</v>
      </c>
      <c r="L69" s="71" t="s">
        <v>32</v>
      </c>
      <c r="M69" s="71" t="s">
        <v>32</v>
      </c>
      <c r="N69" s="71" t="s">
        <v>32</v>
      </c>
      <c r="O69" s="65" t="s">
        <v>32</v>
      </c>
      <c r="P69" s="65" t="s">
        <v>32</v>
      </c>
      <c r="Q69" s="66" t="s">
        <v>32</v>
      </c>
    </row>
    <row r="70" spans="3:17" ht="16" thickTop="1" x14ac:dyDescent="0.35">
      <c r="C70" s="24" t="s">
        <v>0</v>
      </c>
      <c r="D70" s="153">
        <v>1.6587105725502904</v>
      </c>
      <c r="E70" s="156">
        <v>1.6529843153556174</v>
      </c>
      <c r="F70" s="156">
        <v>1.6474792901645228</v>
      </c>
      <c r="G70" s="156">
        <v>1.6421829191126873</v>
      </c>
      <c r="H70" s="156">
        <v>1.6370835600671683</v>
      </c>
      <c r="I70" s="156">
        <v>1.6321704211979837</v>
      </c>
      <c r="J70" s="156">
        <v>1.6175477970937659</v>
      </c>
      <c r="K70" s="156">
        <v>1.6090666203337793</v>
      </c>
      <c r="L70" s="156">
        <v>1.5996083787444912</v>
      </c>
      <c r="M70" s="156">
        <v>1.5929875267219764</v>
      </c>
      <c r="N70" s="156">
        <v>1.5858528844423163</v>
      </c>
      <c r="O70" s="156">
        <v>1.5864986361315778</v>
      </c>
      <c r="P70" s="156">
        <v>1.5871472183505546</v>
      </c>
      <c r="Q70" s="157">
        <v>1.5877982894154219</v>
      </c>
    </row>
    <row r="71" spans="3:17" ht="15.5" x14ac:dyDescent="0.35">
      <c r="C71" s="24" t="s">
        <v>1</v>
      </c>
      <c r="D71" s="158">
        <v>1.5133501102776525</v>
      </c>
      <c r="E71" s="159">
        <v>1.5076484162767796</v>
      </c>
      <c r="F71" s="159">
        <v>1.5022918578776741</v>
      </c>
      <c r="G71" s="159">
        <v>1.4972500180030182</v>
      </c>
      <c r="H71" s="159">
        <v>1.492495951813666</v>
      </c>
      <c r="I71" s="159">
        <v>1.4880057049927586</v>
      </c>
      <c r="J71" s="159">
        <v>1.472164113741746</v>
      </c>
      <c r="K71" s="159">
        <v>1.461740320036945</v>
      </c>
      <c r="L71" s="159">
        <v>1.4509987458705094</v>
      </c>
      <c r="M71" s="159">
        <v>1.4426752438289732</v>
      </c>
      <c r="N71" s="159">
        <v>1.4341255782862159</v>
      </c>
      <c r="O71" s="159">
        <v>1.4327485775117685</v>
      </c>
      <c r="P71" s="159">
        <v>1.4309455835644769</v>
      </c>
      <c r="Q71" s="160">
        <v>1.4286972377996043</v>
      </c>
    </row>
    <row r="72" spans="3:17" ht="15.5" x14ac:dyDescent="0.35">
      <c r="C72" s="24" t="s">
        <v>2</v>
      </c>
      <c r="D72" s="158">
        <v>1.5269744114686463</v>
      </c>
      <c r="E72" s="159">
        <v>1.5222894640869806</v>
      </c>
      <c r="F72" s="159">
        <v>1.5178403053062621</v>
      </c>
      <c r="G72" s="159">
        <v>1.5136095715734068</v>
      </c>
      <c r="H72" s="159">
        <v>1.5095815633660368</v>
      </c>
      <c r="I72" s="159">
        <v>1.505742050516822</v>
      </c>
      <c r="J72" s="159">
        <v>1.4940438190741208</v>
      </c>
      <c r="K72" s="159">
        <v>1.4872588010132268</v>
      </c>
      <c r="L72" s="159">
        <v>1.4796921222581763</v>
      </c>
      <c r="M72" s="159">
        <v>1.4743953808008814</v>
      </c>
      <c r="N72" s="159">
        <v>1.4686876024942317</v>
      </c>
      <c r="O72" s="159">
        <v>1.4692042096819469</v>
      </c>
      <c r="P72" s="159">
        <v>1.4697230813190167</v>
      </c>
      <c r="Q72" s="160">
        <v>1.470243944055293</v>
      </c>
    </row>
    <row r="73" spans="3:17" ht="15.5" x14ac:dyDescent="0.35">
      <c r="C73" s="24" t="s">
        <v>3</v>
      </c>
      <c r="D73" s="158">
        <v>1.7024241867236372</v>
      </c>
      <c r="E73" s="159">
        <v>1.6962470503653453</v>
      </c>
      <c r="F73" s="159">
        <v>1.690345643326137</v>
      </c>
      <c r="G73" s="159">
        <v>1.6847019070204667</v>
      </c>
      <c r="H73" s="159">
        <v>1.6792993261403786</v>
      </c>
      <c r="I73" s="159">
        <v>1.6741227672443819</v>
      </c>
      <c r="J73" s="159">
        <v>1.6585297507175571</v>
      </c>
      <c r="K73" s="159">
        <v>1.6494857427171572</v>
      </c>
      <c r="L73" s="159">
        <v>1.6393998295209118</v>
      </c>
      <c r="M73" s="159">
        <v>1.6323396018714194</v>
      </c>
      <c r="N73" s="159">
        <v>1.6247314876104753</v>
      </c>
      <c r="O73" s="159">
        <v>1.6254200929313203</v>
      </c>
      <c r="P73" s="159">
        <v>1.6261117166226247</v>
      </c>
      <c r="Q73" s="160">
        <v>1.6268059943256039</v>
      </c>
    </row>
    <row r="74" spans="3:17" ht="15.5" x14ac:dyDescent="0.35">
      <c r="C74" s="24" t="s">
        <v>4</v>
      </c>
      <c r="D74" s="158">
        <v>1.7238662822313953</v>
      </c>
      <c r="E74" s="159">
        <v>1.717747090439175</v>
      </c>
      <c r="F74" s="159">
        <v>1.7117761594206748</v>
      </c>
      <c r="G74" s="159">
        <v>1.7059481653957682</v>
      </c>
      <c r="H74" s="159">
        <v>1.7002580364594722</v>
      </c>
      <c r="I74" s="159">
        <v>1.6947009378603877</v>
      </c>
      <c r="J74" s="159">
        <v>1.6786319312467441</v>
      </c>
      <c r="K74" s="159">
        <v>1.6693118472128263</v>
      </c>
      <c r="L74" s="159">
        <v>1.6589180529411223</v>
      </c>
      <c r="M74" s="159">
        <v>1.6516423058399534</v>
      </c>
      <c r="N74" s="159">
        <v>1.6438019474226997</v>
      </c>
      <c r="O74" s="159">
        <v>1.6445115730064224</v>
      </c>
      <c r="P74" s="159">
        <v>1.6452243090989294</v>
      </c>
      <c r="Q74" s="160">
        <v>1.6459397802190741</v>
      </c>
    </row>
    <row r="75" spans="3:17" ht="15.5" x14ac:dyDescent="0.35">
      <c r="C75" s="24" t="s">
        <v>5</v>
      </c>
      <c r="D75" s="158">
        <v>1.6067598207277274</v>
      </c>
      <c r="E75" s="159">
        <v>1.6016043351929552</v>
      </c>
      <c r="F75" s="159">
        <v>1.5965872497498168</v>
      </c>
      <c r="G75" s="159">
        <v>1.5917030651433612</v>
      </c>
      <c r="H75" s="159">
        <v>1.5869465696569192</v>
      </c>
      <c r="I75" s="159">
        <v>1.5823128205615311</v>
      </c>
      <c r="J75" s="159">
        <v>1.5688434439494425</v>
      </c>
      <c r="K75" s="159">
        <v>1.5610311550552078</v>
      </c>
      <c r="L75" s="159">
        <v>1.5523188598374507</v>
      </c>
      <c r="M75" s="159">
        <v>1.5462201768139001</v>
      </c>
      <c r="N75" s="159">
        <v>1.5396482248049883</v>
      </c>
      <c r="O75" s="159">
        <v>1.5402430477751039</v>
      </c>
      <c r="P75" s="159">
        <v>1.5408404780385809</v>
      </c>
      <c r="Q75" s="160">
        <v>1.5414402008592887</v>
      </c>
    </row>
    <row r="76" spans="3:17" ht="15.5" x14ac:dyDescent="0.35">
      <c r="C76" s="24" t="s">
        <v>6</v>
      </c>
      <c r="D76" s="158">
        <v>1.7031076632918158</v>
      </c>
      <c r="E76" s="159">
        <v>1.6970891044351886</v>
      </c>
      <c r="F76" s="159">
        <v>1.6912550396064265</v>
      </c>
      <c r="G76" s="159">
        <v>1.6855971135950134</v>
      </c>
      <c r="H76" s="159">
        <v>1.680107468199395</v>
      </c>
      <c r="I76" s="159">
        <v>1.6747787058128365</v>
      </c>
      <c r="J76" s="159">
        <v>1.6591705168850259</v>
      </c>
      <c r="K76" s="159">
        <v>1.6501177088352148</v>
      </c>
      <c r="L76" s="159">
        <v>1.6400219817893489</v>
      </c>
      <c r="M76" s="159">
        <v>1.6329548843590951</v>
      </c>
      <c r="N76" s="159">
        <v>1.6253393672098053</v>
      </c>
      <c r="O76" s="159">
        <v>1.626028642561111</v>
      </c>
      <c r="P76" s="159">
        <v>1.6267209392198274</v>
      </c>
      <c r="Q76" s="160">
        <v>1.6274158924726396</v>
      </c>
    </row>
    <row r="77" spans="3:17" ht="15.5" x14ac:dyDescent="0.35">
      <c r="C77" s="24" t="s">
        <v>7</v>
      </c>
      <c r="D77" s="158">
        <v>1.4968686379367222</v>
      </c>
      <c r="E77" s="159">
        <v>1.4926416840847587</v>
      </c>
      <c r="F77" s="159">
        <v>1.488530867347593</v>
      </c>
      <c r="G77" s="159">
        <v>1.4845314662226945</v>
      </c>
      <c r="H77" s="159">
        <v>1.4806390117197112</v>
      </c>
      <c r="I77" s="159">
        <v>1.4768492707023391</v>
      </c>
      <c r="J77" s="159">
        <v>1.4658193531262569</v>
      </c>
      <c r="K77" s="159">
        <v>1.4594219596116518</v>
      </c>
      <c r="L77" s="159">
        <v>1.4522875612710402</v>
      </c>
      <c r="M77" s="159">
        <v>1.4472934198931802</v>
      </c>
      <c r="N77" s="159">
        <v>1.4419117239869859</v>
      </c>
      <c r="O77" s="159">
        <v>1.4423988176752602</v>
      </c>
      <c r="P77" s="159">
        <v>1.4428880464460776</v>
      </c>
      <c r="Q77" s="160">
        <v>1.4433791525656408</v>
      </c>
    </row>
    <row r="78" spans="3:17" ht="15.5" x14ac:dyDescent="0.35">
      <c r="C78" s="24" t="s">
        <v>8</v>
      </c>
      <c r="D78" s="158">
        <v>1.5747257050371999</v>
      </c>
      <c r="E78" s="159">
        <v>1.569818719253008</v>
      </c>
      <c r="F78" s="159">
        <v>1.5650830446392807</v>
      </c>
      <c r="G78" s="159">
        <v>1.56050986396433</v>
      </c>
      <c r="H78" s="159">
        <v>1.5560909548771118</v>
      </c>
      <c r="I78" s="159">
        <v>1.5518186405701631</v>
      </c>
      <c r="J78" s="159">
        <v>1.5388640242403662</v>
      </c>
      <c r="K78" s="159">
        <v>1.5311118700566693</v>
      </c>
      <c r="L78" s="159">
        <v>1.5221094167932143</v>
      </c>
      <c r="M78" s="159">
        <v>1.5158407446679645</v>
      </c>
      <c r="N78" s="159">
        <v>1.5089791144564573</v>
      </c>
      <c r="O78" s="159">
        <v>1.5090208088609476</v>
      </c>
      <c r="P78" s="159">
        <v>1.5087972436101666</v>
      </c>
      <c r="Q78" s="160">
        <v>1.5082815531551872</v>
      </c>
    </row>
    <row r="79" spans="3:17" ht="15.5" x14ac:dyDescent="0.35">
      <c r="C79" s="24" t="s">
        <v>9</v>
      </c>
      <c r="D79" s="158">
        <v>1.5223311720305397</v>
      </c>
      <c r="E79" s="159">
        <v>1.5178596871888785</v>
      </c>
      <c r="F79" s="159">
        <v>1.5135254583880413</v>
      </c>
      <c r="G79" s="159">
        <v>1.5093222613706203</v>
      </c>
      <c r="H79" s="159">
        <v>1.5052442426168775</v>
      </c>
      <c r="I79" s="159">
        <v>1.5012858921467709</v>
      </c>
      <c r="J79" s="159">
        <v>1.4896907353285842</v>
      </c>
      <c r="K79" s="159">
        <v>1.4829655009360487</v>
      </c>
      <c r="L79" s="159">
        <v>1.4754654931624469</v>
      </c>
      <c r="M79" s="159">
        <v>1.4702154219765973</v>
      </c>
      <c r="N79" s="159">
        <v>1.4645579356400329</v>
      </c>
      <c r="O79" s="159">
        <v>1.4650699909352545</v>
      </c>
      <c r="P79" s="159">
        <v>1.4655842907274756</v>
      </c>
      <c r="Q79" s="160">
        <v>1.4661005640750713</v>
      </c>
    </row>
    <row r="80" spans="3:17" ht="15.5" x14ac:dyDescent="0.35">
      <c r="C80" s="24" t="s">
        <v>10</v>
      </c>
      <c r="D80" s="158">
        <v>1.708901248114826</v>
      </c>
      <c r="E80" s="159">
        <v>1.7031266330353896</v>
      </c>
      <c r="F80" s="159">
        <v>1.6973833395533644</v>
      </c>
      <c r="G80" s="159">
        <v>1.6916711135247808</v>
      </c>
      <c r="H80" s="159">
        <v>1.6859897035477569</v>
      </c>
      <c r="I80" s="159">
        <v>1.6803388609256171</v>
      </c>
      <c r="J80" s="159">
        <v>1.6646020610165759</v>
      </c>
      <c r="K80" s="159">
        <v>1.6554746581158462</v>
      </c>
      <c r="L80" s="159">
        <v>1.6452957425996451</v>
      </c>
      <c r="M80" s="159">
        <v>1.6381704125109346</v>
      </c>
      <c r="N80" s="159">
        <v>1.6304921437421152</v>
      </c>
      <c r="O80" s="159">
        <v>1.6311870987004324</v>
      </c>
      <c r="P80" s="159">
        <v>1.631885099861637</v>
      </c>
      <c r="Q80" s="160">
        <v>1.6325857795071888</v>
      </c>
    </row>
    <row r="81" spans="3:17" ht="15.5" x14ac:dyDescent="0.35">
      <c r="C81" s="24" t="s">
        <v>11</v>
      </c>
      <c r="D81" s="158">
        <v>1.5384403921269905</v>
      </c>
      <c r="E81" s="159">
        <v>1.5336305050701657</v>
      </c>
      <c r="F81" s="159">
        <v>1.5290747960243773</v>
      </c>
      <c r="G81" s="159">
        <v>1.5247536356272953</v>
      </c>
      <c r="H81" s="159">
        <v>1.5206493650095469</v>
      </c>
      <c r="I81" s="159">
        <v>1.5167460545882459</v>
      </c>
      <c r="J81" s="159">
        <v>1.5047932914405135</v>
      </c>
      <c r="K81" s="159">
        <v>1.4978606440371705</v>
      </c>
      <c r="L81" s="159">
        <v>1.4901293284603594</v>
      </c>
      <c r="M81" s="159">
        <v>1.484717339784642</v>
      </c>
      <c r="N81" s="159">
        <v>1.4788853708640992</v>
      </c>
      <c r="O81" s="159">
        <v>1.4794132184610134</v>
      </c>
      <c r="P81" s="159">
        <v>1.4799433797774786</v>
      </c>
      <c r="Q81" s="160">
        <v>1.4804755755157557</v>
      </c>
    </row>
    <row r="82" spans="3:17" ht="15.5" x14ac:dyDescent="0.35">
      <c r="C82" s="24" t="s">
        <v>12</v>
      </c>
      <c r="D82" s="158">
        <v>1.7124125676570066</v>
      </c>
      <c r="E82" s="159">
        <v>1.7061641860477981</v>
      </c>
      <c r="F82" s="159">
        <v>1.7001860764127081</v>
      </c>
      <c r="G82" s="159">
        <v>1.694461074169932</v>
      </c>
      <c r="H82" s="159">
        <v>1.6889734380700576</v>
      </c>
      <c r="I82" s="159">
        <v>1.6837087056593174</v>
      </c>
      <c r="J82" s="159">
        <v>1.6678939584576187</v>
      </c>
      <c r="K82" s="159">
        <v>1.65872134583514</v>
      </c>
      <c r="L82" s="159">
        <v>1.6484920122599138</v>
      </c>
      <c r="M82" s="159">
        <v>1.6413313890879266</v>
      </c>
      <c r="N82" s="159">
        <v>1.6336150884278529</v>
      </c>
      <c r="O82" s="159">
        <v>1.6343134856271488</v>
      </c>
      <c r="P82" s="159">
        <v>1.6350149441177411</v>
      </c>
      <c r="Q82" s="160">
        <v>1.6357190943597104</v>
      </c>
    </row>
    <row r="83" spans="3:17" ht="16" thickBot="1" x14ac:dyDescent="0.4">
      <c r="C83" s="25" t="s">
        <v>13</v>
      </c>
      <c r="D83" s="161">
        <v>1.5788035894729133</v>
      </c>
      <c r="E83" s="162">
        <v>1.5739053697816814</v>
      </c>
      <c r="F83" s="162">
        <v>1.5691285500384888</v>
      </c>
      <c r="G83" s="162">
        <v>1.5644686722317991</v>
      </c>
      <c r="H83" s="162">
        <v>1.5599214939848878</v>
      </c>
      <c r="I83" s="162">
        <v>1.5554829756737525</v>
      </c>
      <c r="J83" s="162">
        <v>1.5426341955391534</v>
      </c>
      <c r="K83" s="162">
        <v>1.5351818549267522</v>
      </c>
      <c r="L83" s="162">
        <v>1.5268709754447565</v>
      </c>
      <c r="M83" s="162">
        <v>1.5210532869550095</v>
      </c>
      <c r="N83" s="162">
        <v>1.514784135170965</v>
      </c>
      <c r="O83" s="162">
        <v>1.5153515518957423</v>
      </c>
      <c r="P83" s="162">
        <v>1.515921455783817</v>
      </c>
      <c r="Q83" s="163">
        <v>1.5164935466004075</v>
      </c>
    </row>
    <row r="84" spans="3:17" ht="18" customHeight="1" thickTop="1" x14ac:dyDescent="0.35">
      <c r="C84" s="131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55"/>
      <c r="P84" s="155"/>
      <c r="Q84" s="155"/>
    </row>
    <row r="85" spans="3:17" ht="13" thickBot="1" x14ac:dyDescent="0.3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</row>
    <row r="86" spans="3:17" ht="16" thickTop="1" x14ac:dyDescent="0.35">
      <c r="C86" s="32" t="s">
        <v>147</v>
      </c>
      <c r="D86" s="34"/>
      <c r="E86" s="33"/>
      <c r="F86" s="33"/>
      <c r="G86" s="33"/>
      <c r="H86" s="33"/>
      <c r="I86" s="34"/>
      <c r="J86" s="34"/>
      <c r="K86" s="34"/>
      <c r="L86" s="34"/>
      <c r="M86" s="34"/>
      <c r="N86" s="34"/>
      <c r="O86" s="34"/>
      <c r="P86" s="34"/>
      <c r="Q86" s="35"/>
    </row>
    <row r="87" spans="3:17" ht="13.5" thickBot="1" x14ac:dyDescent="0.35">
      <c r="C87" s="18"/>
      <c r="D87" s="65" t="s">
        <v>25</v>
      </c>
      <c r="E87" s="65" t="s">
        <v>37</v>
      </c>
      <c r="F87" s="65" t="s">
        <v>38</v>
      </c>
      <c r="G87" s="37" t="s">
        <v>177</v>
      </c>
      <c r="H87" s="37" t="s">
        <v>178</v>
      </c>
      <c r="I87" s="65" t="s">
        <v>26</v>
      </c>
      <c r="J87" s="65" t="s">
        <v>27</v>
      </c>
      <c r="K87" s="65" t="s">
        <v>28</v>
      </c>
      <c r="L87" s="65" t="s">
        <v>29</v>
      </c>
      <c r="M87" s="65" t="s">
        <v>30</v>
      </c>
      <c r="N87" s="65" t="s">
        <v>31</v>
      </c>
      <c r="O87" s="37" t="s">
        <v>174</v>
      </c>
      <c r="P87" s="37" t="s">
        <v>175</v>
      </c>
      <c r="Q87" s="38" t="s">
        <v>176</v>
      </c>
    </row>
    <row r="88" spans="3:17" ht="14" thickTop="1" thickBot="1" x14ac:dyDescent="0.35">
      <c r="C88" s="70"/>
      <c r="D88" s="71" t="s">
        <v>39</v>
      </c>
      <c r="E88" s="71" t="s">
        <v>39</v>
      </c>
      <c r="F88" s="71" t="s">
        <v>39</v>
      </c>
      <c r="G88" s="65" t="s">
        <v>39</v>
      </c>
      <c r="H88" s="65" t="s">
        <v>39</v>
      </c>
      <c r="I88" s="71" t="s">
        <v>39</v>
      </c>
      <c r="J88" s="71" t="s">
        <v>32</v>
      </c>
      <c r="K88" s="71" t="s">
        <v>32</v>
      </c>
      <c r="L88" s="71" t="s">
        <v>32</v>
      </c>
      <c r="M88" s="71" t="s">
        <v>32</v>
      </c>
      <c r="N88" s="71" t="s">
        <v>32</v>
      </c>
      <c r="O88" s="65" t="s">
        <v>32</v>
      </c>
      <c r="P88" s="65" t="s">
        <v>32</v>
      </c>
      <c r="Q88" s="66" t="s">
        <v>32</v>
      </c>
    </row>
    <row r="89" spans="3:17" ht="16" thickTop="1" x14ac:dyDescent="0.35">
      <c r="C89" s="24" t="s">
        <v>0</v>
      </c>
      <c r="D89" s="153">
        <f ca="1">IF(NOT($C$4),D70,D10)</f>
        <v>1.6587105725502904</v>
      </c>
      <c r="E89" s="156">
        <f t="shared" ref="E89:N89" ca="1" si="43">IF(NOT($C$4),E70,E10)</f>
        <v>1.6534613068208053</v>
      </c>
      <c r="F89" s="156">
        <f t="shared" ca="1" si="43"/>
        <v>1.6484174911379252</v>
      </c>
      <c r="G89" s="156">
        <f t="shared" ref="G89:H89" ca="1" si="44">IF(NOT($C$4),G70,G10)</f>
        <v>1.6435672954022729</v>
      </c>
      <c r="H89" s="156">
        <f t="shared" ca="1" si="44"/>
        <v>1.6388997806679484</v>
      </c>
      <c r="I89" s="156">
        <f t="shared" ca="1" si="43"/>
        <v>1.6344048167810938</v>
      </c>
      <c r="J89" s="156">
        <f t="shared" ca="1" si="43"/>
        <v>1.6214213067309455</v>
      </c>
      <c r="K89" s="156">
        <f t="shared" ca="1" si="43"/>
        <v>1.6091195552559905</v>
      </c>
      <c r="L89" s="156">
        <f t="shared" ca="1" si="43"/>
        <v>1.5962369357406434</v>
      </c>
      <c r="M89" s="156">
        <f t="shared" ca="1" si="43"/>
        <v>1.5862886441718034</v>
      </c>
      <c r="N89" s="156">
        <f t="shared" ca="1" si="43"/>
        <v>1.5764317958132725</v>
      </c>
      <c r="O89" s="156">
        <f t="shared" ref="O89:Q89" ca="1" si="45">IF(NOT($C$4),O70,O10)</f>
        <v>1.5767150889416892</v>
      </c>
      <c r="P89" s="156">
        <f t="shared" ca="1" si="45"/>
        <v>1.5769993145022327</v>
      </c>
      <c r="Q89" s="157">
        <f t="shared" ca="1" si="45"/>
        <v>1.5772842907680786</v>
      </c>
    </row>
    <row r="90" spans="3:17" ht="15.5" x14ac:dyDescent="0.35">
      <c r="C90" s="24" t="s">
        <v>1</v>
      </c>
      <c r="D90" s="158">
        <f t="shared" ref="D90:N90" ca="1" si="46">IF(NOT($C$4),D71,D11)</f>
        <v>1.5135908407438097</v>
      </c>
      <c r="E90" s="159">
        <f t="shared" ca="1" si="46"/>
        <v>1.5090257328210044</v>
      </c>
      <c r="F90" s="159">
        <f t="shared" ca="1" si="46"/>
        <v>1.5046779018517182</v>
      </c>
      <c r="G90" s="159">
        <f t="shared" ref="G90:H90" ca="1" si="47">IF(NOT($C$4),G71,G11)</f>
        <v>1.5005321964122875</v>
      </c>
      <c r="H90" s="159">
        <f t="shared" ca="1" si="47"/>
        <v>1.4965748418210971</v>
      </c>
      <c r="I90" s="159">
        <f t="shared" ca="1" si="46"/>
        <v>1.4927932872389222</v>
      </c>
      <c r="J90" s="159">
        <f t="shared" ca="1" si="46"/>
        <v>1.4760143186271315</v>
      </c>
      <c r="K90" s="159">
        <f t="shared" ca="1" si="46"/>
        <v>1.4601906091546883</v>
      </c>
      <c r="L90" s="159">
        <f t="shared" ca="1" si="46"/>
        <v>1.4470690585564743</v>
      </c>
      <c r="M90" s="159">
        <f t="shared" ca="1" si="46"/>
        <v>1.4362059342045015</v>
      </c>
      <c r="N90" s="159">
        <f t="shared" ca="1" si="46"/>
        <v>1.4253465923163608</v>
      </c>
      <c r="O90" s="159">
        <f t="shared" ref="O90:Q90" ca="1" si="48">IF(NOT($C$4),O71,O11)</f>
        <v>1.4232557345862134</v>
      </c>
      <c r="P90" s="159">
        <f t="shared" ca="1" si="48"/>
        <v>1.421012524781947</v>
      </c>
      <c r="Q90" s="160">
        <f t="shared" ca="1" si="48"/>
        <v>1.4184851455474337</v>
      </c>
    </row>
    <row r="91" spans="3:17" ht="15.5" x14ac:dyDescent="0.35">
      <c r="C91" s="24" t="s">
        <v>2</v>
      </c>
      <c r="D91" s="158">
        <f t="shared" ref="D91:N91" ca="1" si="49">IF(NOT($C$4),D72,D12)</f>
        <v>1.5269744114686463</v>
      </c>
      <c r="E91" s="159">
        <f t="shared" ca="1" si="49"/>
        <v>1.5227371874402222</v>
      </c>
      <c r="F91" s="159">
        <f t="shared" ca="1" si="49"/>
        <v>1.5186855319630836</v>
      </c>
      <c r="G91" s="159">
        <f t="shared" ref="G91:H91" ca="1" si="50">IF(NOT($C$4),G72,G12)</f>
        <v>1.5148075158382055</v>
      </c>
      <c r="H91" s="159">
        <f t="shared" ca="1" si="50"/>
        <v>1.5110922109011538</v>
      </c>
      <c r="I91" s="159">
        <f t="shared" ca="1" si="49"/>
        <v>1.5075295871777847</v>
      </c>
      <c r="J91" s="159">
        <f t="shared" ca="1" si="49"/>
        <v>1.4969937332671521</v>
      </c>
      <c r="K91" s="159">
        <f t="shared" ca="1" si="49"/>
        <v>1.4870066702966156</v>
      </c>
      <c r="L91" s="159">
        <f t="shared" ca="1" si="49"/>
        <v>1.4765509869274094</v>
      </c>
      <c r="M91" s="159">
        <f t="shared" ca="1" si="49"/>
        <v>1.4684292275023607</v>
      </c>
      <c r="N91" s="159">
        <f t="shared" ca="1" si="49"/>
        <v>1.4603696532669743</v>
      </c>
      <c r="O91" s="159">
        <f t="shared" ref="O91:Q91" ca="1" si="51">IF(NOT($C$4),O72,O12)</f>
        <v>1.4605978076024413</v>
      </c>
      <c r="P91" s="159">
        <f t="shared" ca="1" si="51"/>
        <v>1.4608266991879117</v>
      </c>
      <c r="Q91" s="160">
        <f t="shared" ca="1" si="51"/>
        <v>1.4610561817641874</v>
      </c>
    </row>
    <row r="92" spans="3:17" ht="15.5" x14ac:dyDescent="0.35">
      <c r="C92" s="24" t="s">
        <v>3</v>
      </c>
      <c r="D92" s="158">
        <f t="shared" ref="D92:N92" ca="1" si="52">IF(NOT($C$4),D73,D13)</f>
        <v>1.7024241867236372</v>
      </c>
      <c r="E92" s="159">
        <f t="shared" ca="1" si="52"/>
        <v>1.6968424944142322</v>
      </c>
      <c r="F92" s="159">
        <f t="shared" ca="1" si="52"/>
        <v>1.6914710140592455</v>
      </c>
      <c r="G92" s="159">
        <f t="shared" ref="G92:H92" ca="1" si="53">IF(NOT($C$4),G73,G13)</f>
        <v>1.6862980899615121</v>
      </c>
      <c r="H92" s="159">
        <f t="shared" ca="1" si="53"/>
        <v>1.6813129124899506</v>
      </c>
      <c r="I92" s="159">
        <f t="shared" ca="1" si="52"/>
        <v>1.6765054426798287</v>
      </c>
      <c r="J92" s="159">
        <f t="shared" ca="1" si="52"/>
        <v>1.6626178385216754</v>
      </c>
      <c r="K92" s="159">
        <f t="shared" ca="1" si="52"/>
        <v>1.6494547955587675</v>
      </c>
      <c r="L92" s="159">
        <f t="shared" ca="1" si="52"/>
        <v>1.6356667877403521</v>
      </c>
      <c r="M92" s="159">
        <f t="shared" ca="1" si="52"/>
        <v>1.6250002047777525</v>
      </c>
      <c r="N92" s="159">
        <f t="shared" ca="1" si="52"/>
        <v>1.6144236722891241</v>
      </c>
      <c r="O92" s="159">
        <f t="shared" ref="O92:Q92" ca="1" si="54">IF(NOT($C$4),O73,O13)</f>
        <v>1.6147264068411413</v>
      </c>
      <c r="P92" s="159">
        <f t="shared" ca="1" si="54"/>
        <v>1.6150301333775303</v>
      </c>
      <c r="Q92" s="160">
        <f t="shared" ca="1" si="54"/>
        <v>1.6153346576574112</v>
      </c>
    </row>
    <row r="93" spans="3:17" ht="15.5" x14ac:dyDescent="0.35">
      <c r="C93" s="24" t="s">
        <v>4</v>
      </c>
      <c r="D93" s="158">
        <f t="shared" ref="D93:N93" ca="1" si="55">IF(NOT($C$4),D74,D14)</f>
        <v>1.7238662822313953</v>
      </c>
      <c r="E93" s="159">
        <f t="shared" ca="1" si="55"/>
        <v>1.7183141292554476</v>
      </c>
      <c r="F93" s="159">
        <f t="shared" ca="1" si="55"/>
        <v>1.7128701296428521</v>
      </c>
      <c r="G93" s="159">
        <f t="shared" ref="G93:H93" ca="1" si="56">IF(NOT($C$4),G74,G14)</f>
        <v>1.7075311537100111</v>
      </c>
      <c r="H93" s="159">
        <f t="shared" ca="1" si="56"/>
        <v>1.7022941913731457</v>
      </c>
      <c r="I93" s="159">
        <f t="shared" ca="1" si="55"/>
        <v>1.697156346489276</v>
      </c>
      <c r="J93" s="159">
        <f t="shared" ca="1" si="55"/>
        <v>1.6826363591443398</v>
      </c>
      <c r="K93" s="159">
        <f t="shared" ca="1" si="55"/>
        <v>1.6688550073296875</v>
      </c>
      <c r="L93" s="159">
        <f t="shared" ca="1" si="55"/>
        <v>1.6544117037282369</v>
      </c>
      <c r="M93" s="159">
        <f t="shared" ca="1" si="55"/>
        <v>1.6431593379101721</v>
      </c>
      <c r="N93" s="159">
        <f t="shared" ca="1" si="55"/>
        <v>1.6319743528104522</v>
      </c>
      <c r="O93" s="159">
        <f t="shared" ref="O93:Q93" ca="1" si="57">IF(NOT($C$4),O74,O14)</f>
        <v>1.6322894143189344</v>
      </c>
      <c r="P93" s="159">
        <f t="shared" ca="1" si="57"/>
        <v>1.6326054837523758</v>
      </c>
      <c r="Q93" s="160">
        <f t="shared" ca="1" si="57"/>
        <v>1.6329223592200257</v>
      </c>
    </row>
    <row r="94" spans="3:17" ht="15.5" x14ac:dyDescent="0.35">
      <c r="C94" s="24" t="s">
        <v>5</v>
      </c>
      <c r="D94" s="158">
        <f t="shared" ref="D94:N94" ca="1" si="58">IF(NOT($C$4),D75,D15)</f>
        <v>1.6067598207277274</v>
      </c>
      <c r="E94" s="159">
        <f t="shared" ca="1" si="58"/>
        <v>1.6019670103093906</v>
      </c>
      <c r="F94" s="159">
        <f t="shared" ca="1" si="58"/>
        <v>1.5973398910798198</v>
      </c>
      <c r="G94" s="159">
        <f t="shared" ref="G94:H94" ca="1" si="59">IF(NOT($C$4),G75,G15)</f>
        <v>1.5928700169232626</v>
      </c>
      <c r="H94" s="159">
        <f t="shared" ca="1" si="59"/>
        <v>1.5885495061876174</v>
      </c>
      <c r="I94" s="159">
        <f t="shared" ca="1" si="58"/>
        <v>1.5843709953046412</v>
      </c>
      <c r="J94" s="159">
        <f t="shared" ca="1" si="58"/>
        <v>1.572192879946853</v>
      </c>
      <c r="K94" s="159">
        <f t="shared" ca="1" si="58"/>
        <v>1.5606432681880957</v>
      </c>
      <c r="L94" s="159">
        <f t="shared" ca="1" si="58"/>
        <v>1.5485488578035767</v>
      </c>
      <c r="M94" s="159">
        <f t="shared" ca="1" si="58"/>
        <v>1.5391357100075429</v>
      </c>
      <c r="N94" s="159">
        <f t="shared" ca="1" si="58"/>
        <v>1.5297877756137626</v>
      </c>
      <c r="O94" s="159">
        <f t="shared" ref="O94:Q94" ca="1" si="60">IF(NOT($C$4),O75,O15)</f>
        <v>1.5300512993780888</v>
      </c>
      <c r="P94" s="159">
        <f t="shared" ca="1" si="60"/>
        <v>1.5303156682925418</v>
      </c>
      <c r="Q94" s="160">
        <f t="shared" ca="1" si="60"/>
        <v>1.5305807135279503</v>
      </c>
    </row>
    <row r="95" spans="3:17" ht="15.5" x14ac:dyDescent="0.35">
      <c r="C95" s="24" t="s">
        <v>6</v>
      </c>
      <c r="D95" s="158">
        <f t="shared" ref="D95:N95" ca="1" si="61">IF(NOT($C$4),D76,D16)</f>
        <v>1.7031076632918158</v>
      </c>
      <c r="E95" s="159">
        <f t="shared" ca="1" si="61"/>
        <v>1.6975143910137311</v>
      </c>
      <c r="F95" s="159">
        <f t="shared" ca="1" si="61"/>
        <v>1.6921349563185297</v>
      </c>
      <c r="G95" s="159">
        <f t="shared" ref="G95:H95" ca="1" si="62">IF(NOT($C$4),G76,G16)</f>
        <v>1.6869573263169724</v>
      </c>
      <c r="H95" s="159">
        <f t="shared" ca="1" si="62"/>
        <v>1.68197035430383</v>
      </c>
      <c r="I95" s="159">
        <f t="shared" ca="1" si="61"/>
        <v>1.6771636996519779</v>
      </c>
      <c r="J95" s="159">
        <f t="shared" ca="1" si="61"/>
        <v>1.6632352528092429</v>
      </c>
      <c r="K95" s="159">
        <f t="shared" ca="1" si="61"/>
        <v>1.6500312592138942</v>
      </c>
      <c r="L95" s="159">
        <f t="shared" ca="1" si="61"/>
        <v>1.6361992751753769</v>
      </c>
      <c r="M95" s="159">
        <f t="shared" ca="1" si="61"/>
        <v>1.625487962148245</v>
      </c>
      <c r="N95" s="159">
        <f t="shared" ca="1" si="61"/>
        <v>1.614863167682836</v>
      </c>
      <c r="O95" s="159">
        <f t="shared" ref="O95:Q95" ca="1" si="63">IF(NOT($C$4),O76,O16)</f>
        <v>1.6151665713276941</v>
      </c>
      <c r="P95" s="159">
        <f t="shared" ca="1" si="63"/>
        <v>1.6154709662925091</v>
      </c>
      <c r="Q95" s="160">
        <f t="shared" ca="1" si="63"/>
        <v>1.6157761579103138</v>
      </c>
    </row>
    <row r="96" spans="3:17" ht="15.5" x14ac:dyDescent="0.35">
      <c r="C96" s="24" t="s">
        <v>7</v>
      </c>
      <c r="D96" s="158">
        <f t="shared" ref="D96:N96" ca="1" si="64">IF(NOT($C$4),D77,D17)</f>
        <v>1.4968686379367222</v>
      </c>
      <c r="E96" s="159">
        <f t="shared" ca="1" si="64"/>
        <v>1.4929770274690781</v>
      </c>
      <c r="F96" s="159">
        <f t="shared" ca="1" si="64"/>
        <v>1.4892029181459088</v>
      </c>
      <c r="G96" s="159">
        <f t="shared" ref="G96:H96" ca="1" si="65">IF(NOT($C$4),G77,G17)</f>
        <v>1.4855410674645115</v>
      </c>
      <c r="H96" s="159">
        <f t="shared" ca="1" si="65"/>
        <v>1.481986540222217</v>
      </c>
      <c r="I96" s="159">
        <f t="shared" ca="1" si="64"/>
        <v>1.4785346863253088</v>
      </c>
      <c r="J96" s="159">
        <f t="shared" ca="1" si="64"/>
        <v>1.4684051941504186</v>
      </c>
      <c r="K96" s="159">
        <f t="shared" ca="1" si="64"/>
        <v>1.4587969376994927</v>
      </c>
      <c r="L96" s="159">
        <f t="shared" ca="1" si="64"/>
        <v>1.4487414548712536</v>
      </c>
      <c r="M96" s="159">
        <f t="shared" ca="1" si="64"/>
        <v>1.440869063598512</v>
      </c>
      <c r="N96" s="159">
        <f t="shared" ca="1" si="64"/>
        <v>1.4330411093676017</v>
      </c>
      <c r="O96" s="159">
        <f t="shared" ref="O96:Q96" ca="1" si="66">IF(NOT($C$4),O77,O17)</f>
        <v>1.4332582726670324</v>
      </c>
      <c r="P96" s="159">
        <f t="shared" ca="1" si="66"/>
        <v>1.4334761191971803</v>
      </c>
      <c r="Q96" s="160">
        <f t="shared" ca="1" si="66"/>
        <v>1.4336945099158978</v>
      </c>
    </row>
    <row r="97" spans="3:17" ht="15.5" x14ac:dyDescent="0.35">
      <c r="C97" s="24" t="s">
        <v>8</v>
      </c>
      <c r="D97" s="158">
        <f t="shared" ref="D97:N97" ca="1" si="67">IF(NOT($C$4),D78,D18)</f>
        <v>1.5761670451525365</v>
      </c>
      <c r="E97" s="159">
        <f t="shared" ca="1" si="67"/>
        <v>1.5715570937345162</v>
      </c>
      <c r="F97" s="159">
        <f t="shared" ca="1" si="67"/>
        <v>1.5671336537045775</v>
      </c>
      <c r="G97" s="159">
        <f t="shared" ref="G97:H97" ca="1" si="68">IF(NOT($C$4),G78,G18)</f>
        <v>1.5628856305594192</v>
      </c>
      <c r="H97" s="159">
        <f t="shared" ca="1" si="68"/>
        <v>1.5588027926195744</v>
      </c>
      <c r="I97" s="159">
        <f t="shared" ca="1" si="67"/>
        <v>1.5548756887514252</v>
      </c>
      <c r="J97" s="159">
        <f t="shared" ca="1" si="67"/>
        <v>1.5416601228584188</v>
      </c>
      <c r="K97" s="159">
        <f t="shared" ca="1" si="67"/>
        <v>1.5294262605214537</v>
      </c>
      <c r="L97" s="159">
        <f t="shared" ca="1" si="67"/>
        <v>1.5170168544996228</v>
      </c>
      <c r="M97" s="159">
        <f t="shared" ca="1" si="67"/>
        <v>1.5071188774539248</v>
      </c>
      <c r="N97" s="159">
        <f t="shared" ca="1" si="67"/>
        <v>1.4971717628713501</v>
      </c>
      <c r="O97" s="159">
        <f t="shared" ref="O97:Q97" ca="1" si="69">IF(NOT($C$4),O78,O18)</f>
        <v>1.4966867029661406</v>
      </c>
      <c r="P97" s="159">
        <f t="shared" ca="1" si="69"/>
        <v>1.4961226740874731</v>
      </c>
      <c r="Q97" s="160">
        <f t="shared" ca="1" si="69"/>
        <v>1.4954931850581741</v>
      </c>
    </row>
    <row r="98" spans="3:17" ht="15.5" x14ac:dyDescent="0.35">
      <c r="C98" s="24" t="s">
        <v>9</v>
      </c>
      <c r="D98" s="158">
        <f t="shared" ref="D98:N98" ca="1" si="70">IF(NOT($C$4),D79,D19)</f>
        <v>1.5223311720305397</v>
      </c>
      <c r="E98" s="159">
        <f t="shared" ca="1" si="70"/>
        <v>1.5182739138069752</v>
      </c>
      <c r="F98" s="159">
        <f t="shared" ca="1" si="70"/>
        <v>1.5143218751856868</v>
      </c>
      <c r="G98" s="159">
        <f t="shared" ref="G98:H98" ca="1" si="71">IF(NOT($C$4),G79,G19)</f>
        <v>1.5104710154658647</v>
      </c>
      <c r="H98" s="159">
        <f t="shared" ca="1" si="71"/>
        <v>1.5067174982293166</v>
      </c>
      <c r="I98" s="159">
        <f t="shared" ca="1" si="70"/>
        <v>1.5030576785918968</v>
      </c>
      <c r="J98" s="159">
        <f t="shared" ca="1" si="70"/>
        <v>1.4924227059685014</v>
      </c>
      <c r="K98" s="159">
        <f t="shared" ca="1" si="70"/>
        <v>1.4823347710285402</v>
      </c>
      <c r="L98" s="159">
        <f t="shared" ca="1" si="70"/>
        <v>1.4717790587014827</v>
      </c>
      <c r="M98" s="159">
        <f t="shared" ca="1" si="70"/>
        <v>1.4635238756898423</v>
      </c>
      <c r="N98" s="159">
        <f t="shared" ca="1" si="70"/>
        <v>1.4553198385068826</v>
      </c>
      <c r="O98" s="159">
        <f t="shared" ref="O98:Q98" ca="1" si="72">IF(NOT($C$4),O79,O19)</f>
        <v>1.4555481536532158</v>
      </c>
      <c r="P98" s="159">
        <f t="shared" ca="1" si="72"/>
        <v>1.4557771861461881</v>
      </c>
      <c r="Q98" s="160">
        <f t="shared" ca="1" si="72"/>
        <v>1.4560067900366536</v>
      </c>
    </row>
    <row r="99" spans="3:17" ht="15.5" x14ac:dyDescent="0.35">
      <c r="C99" s="24" t="s">
        <v>10</v>
      </c>
      <c r="D99" s="158">
        <f t="shared" ref="D99:N99" ca="1" si="73">IF(NOT($C$4),D80,D20)</f>
        <v>1.708901248114826</v>
      </c>
      <c r="E99" s="159">
        <f t="shared" ca="1" si="73"/>
        <v>1.7036622099487997</v>
      </c>
      <c r="F99" s="159">
        <f t="shared" ca="1" si="73"/>
        <v>1.6984269207779232</v>
      </c>
      <c r="G99" s="159">
        <f t="shared" ref="G99:H99" ca="1" si="74">IF(NOT($C$4),G80,G20)</f>
        <v>1.6931953765795289</v>
      </c>
      <c r="H99" s="159">
        <f t="shared" ca="1" si="74"/>
        <v>1.687967573336703</v>
      </c>
      <c r="I99" s="159">
        <f t="shared" ca="1" si="73"/>
        <v>1.6827435070382739</v>
      </c>
      <c r="J99" s="159">
        <f t="shared" ca="1" si="73"/>
        <v>1.66865214520334</v>
      </c>
      <c r="K99" s="159">
        <f t="shared" ca="1" si="73"/>
        <v>1.655289531601484</v>
      </c>
      <c r="L99" s="159">
        <f t="shared" ca="1" si="73"/>
        <v>1.6412897068458565</v>
      </c>
      <c r="M99" s="159">
        <f t="shared" ca="1" si="73"/>
        <v>1.630430271918099</v>
      </c>
      <c r="N99" s="159">
        <f t="shared" ca="1" si="73"/>
        <v>1.6196522209207405</v>
      </c>
      <c r="O99" s="159">
        <f t="shared" ref="O99:Q99" ca="1" si="75">IF(NOT($C$4),O80,O20)</f>
        <v>1.6199588203234521</v>
      </c>
      <c r="P99" s="159">
        <f t="shared" ca="1" si="75"/>
        <v>1.620266416001535</v>
      </c>
      <c r="Q99" s="160">
        <f t="shared" ca="1" si="75"/>
        <v>1.6205748112872771</v>
      </c>
    </row>
    <row r="100" spans="3:17" ht="15.5" x14ac:dyDescent="0.35">
      <c r="C100" s="24" t="s">
        <v>11</v>
      </c>
      <c r="D100" s="158">
        <f t="shared" ref="D100:N100" ca="1" si="76">IF(NOT($C$4),D81,D21)</f>
        <v>1.5384403921269905</v>
      </c>
      <c r="E100" s="159">
        <f t="shared" ca="1" si="76"/>
        <v>1.5340281008491665</v>
      </c>
      <c r="F100" s="159">
        <f t="shared" ca="1" si="76"/>
        <v>1.5298528402661384</v>
      </c>
      <c r="G100" s="159">
        <f t="shared" ref="G100:H100" ca="1" si="77">IF(NOT($C$4),G81,G21)</f>
        <v>1.525896009865374</v>
      </c>
      <c r="H100" s="159">
        <f t="shared" ca="1" si="77"/>
        <v>1.5221409057086952</v>
      </c>
      <c r="I100" s="159">
        <f t="shared" ca="1" si="76"/>
        <v>1.518572484714118</v>
      </c>
      <c r="J100" s="159">
        <f t="shared" ca="1" si="76"/>
        <v>1.5072583950467515</v>
      </c>
      <c r="K100" s="159">
        <f t="shared" ca="1" si="76"/>
        <v>1.4965087909773922</v>
      </c>
      <c r="L100" s="159">
        <f t="shared" ca="1" si="76"/>
        <v>1.4852577681067307</v>
      </c>
      <c r="M100" s="159">
        <f t="shared" ca="1" si="76"/>
        <v>1.4763366674144174</v>
      </c>
      <c r="N100" s="159">
        <f t="shared" ca="1" si="76"/>
        <v>1.4674320249016375</v>
      </c>
      <c r="O100" s="159">
        <f t="shared" ref="O100:Q100" ca="1" si="78">IF(NOT($C$4),O81,O21)</f>
        <v>1.4676713476253667</v>
      </c>
      <c r="P100" s="159">
        <f t="shared" ca="1" si="78"/>
        <v>1.4679113893906415</v>
      </c>
      <c r="Q100" s="160">
        <f t="shared" ca="1" si="78"/>
        <v>1.4681519972532511</v>
      </c>
    </row>
    <row r="101" spans="3:17" ht="15.5" x14ac:dyDescent="0.35">
      <c r="C101" s="24" t="s">
        <v>12</v>
      </c>
      <c r="D101" s="158">
        <f t="shared" ref="D101:N101" ca="1" si="79">IF(NOT($C$4),D82,D22)</f>
        <v>1.7124125676570066</v>
      </c>
      <c r="E101" s="159">
        <f t="shared" ca="1" si="79"/>
        <v>1.7065847837568688</v>
      </c>
      <c r="F101" s="159">
        <f t="shared" ca="1" si="79"/>
        <v>1.7010647491760846</v>
      </c>
      <c r="G101" s="159">
        <f t="shared" ref="G101:H101" ca="1" si="80">IF(NOT($C$4),G82,G22)</f>
        <v>1.6958287139021928</v>
      </c>
      <c r="H101" s="159">
        <f t="shared" ca="1" si="80"/>
        <v>1.6908553104540938</v>
      </c>
      <c r="I101" s="159">
        <f t="shared" ca="1" si="79"/>
        <v>1.6861252624307714</v>
      </c>
      <c r="J101" s="159">
        <f t="shared" ca="1" si="79"/>
        <v>1.6718295297878476</v>
      </c>
      <c r="K101" s="159">
        <f t="shared" ca="1" si="79"/>
        <v>1.6582624077553201</v>
      </c>
      <c r="L101" s="159">
        <f t="shared" ca="1" si="79"/>
        <v>1.6440470108165361</v>
      </c>
      <c r="M101" s="159">
        <f t="shared" ca="1" si="79"/>
        <v>1.6329757741664868</v>
      </c>
      <c r="N101" s="159">
        <f t="shared" ca="1" si="79"/>
        <v>1.6219746960415431</v>
      </c>
      <c r="O101" s="159">
        <f t="shared" ref="O101:Q101" ca="1" si="81">IF(NOT($C$4),O82,O22)</f>
        <v>1.6222847856229221</v>
      </c>
      <c r="P101" s="159">
        <f t="shared" ca="1" si="81"/>
        <v>1.6225958658910635</v>
      </c>
      <c r="Q101" s="160">
        <f t="shared" ca="1" si="81"/>
        <v>1.6229077383019359</v>
      </c>
    </row>
    <row r="102" spans="3:17" ht="16" thickBot="1" x14ac:dyDescent="0.4">
      <c r="C102" s="25" t="s">
        <v>13</v>
      </c>
      <c r="D102" s="161">
        <f t="shared" ref="D102:N102" ca="1" si="82">IF(NOT($C$4),D83,D23)</f>
        <v>1.5788035894729133</v>
      </c>
      <c r="E102" s="162">
        <f t="shared" ca="1" si="82"/>
        <v>1.5743592545783958</v>
      </c>
      <c r="F102" s="162">
        <f t="shared" ca="1" si="82"/>
        <v>1.5700039579003957</v>
      </c>
      <c r="G102" s="162">
        <f t="shared" ref="G102:H102" ca="1" si="83">IF(NOT($C$4),G83,G23)</f>
        <v>1.5657350502758987</v>
      </c>
      <c r="H102" s="162">
        <f t="shared" ca="1" si="83"/>
        <v>1.5615499866042493</v>
      </c>
      <c r="I102" s="162">
        <f t="shared" ca="1" si="82"/>
        <v>1.5574463207872202</v>
      </c>
      <c r="J102" s="162">
        <f t="shared" ca="1" si="82"/>
        <v>1.545793486746589</v>
      </c>
      <c r="K102" s="162">
        <f t="shared" ca="1" si="82"/>
        <v>1.5347411789583847</v>
      </c>
      <c r="L102" s="162">
        <f t="shared" ca="1" si="82"/>
        <v>1.5231662385640712</v>
      </c>
      <c r="M102" s="162">
        <f t="shared" ca="1" si="82"/>
        <v>1.5141419425478342</v>
      </c>
      <c r="N102" s="162">
        <f t="shared" ca="1" si="82"/>
        <v>1.5051740190052099</v>
      </c>
      <c r="O102" s="162">
        <f t="shared" ref="O102:Q102" ca="1" si="84">IF(NOT($C$4),O83,O23)</f>
        <v>1.5054256578594503</v>
      </c>
      <c r="P102" s="162">
        <f t="shared" ca="1" si="84"/>
        <v>1.5056781021973387</v>
      </c>
      <c r="Q102" s="163">
        <f t="shared" ca="1" si="84"/>
        <v>1.5059311906281596</v>
      </c>
    </row>
    <row r="103" spans="3:17" ht="16" thickTop="1" x14ac:dyDescent="0.35">
      <c r="C103" s="128"/>
      <c r="D103" s="167"/>
      <c r="E103" s="167"/>
      <c r="F103" s="167"/>
      <c r="G103" s="167"/>
      <c r="H103" s="167"/>
      <c r="I103" s="167"/>
      <c r="J103" s="167"/>
      <c r="K103" s="167"/>
      <c r="L103" s="167"/>
      <c r="M103" s="155"/>
      <c r="N103" s="155"/>
      <c r="O103" s="155"/>
    </row>
    <row r="104" spans="3:17" ht="18" customHeight="1" x14ac:dyDescent="0.35">
      <c r="C104" s="131"/>
      <c r="D104" s="167"/>
      <c r="E104" s="167"/>
      <c r="F104" s="167"/>
      <c r="G104" s="167"/>
      <c r="H104" s="167"/>
      <c r="I104" s="167"/>
      <c r="J104" s="167"/>
      <c r="K104" s="167"/>
      <c r="L104" s="167"/>
    </row>
    <row r="105" spans="3:17" x14ac:dyDescent="0.25"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3:17" x14ac:dyDescent="0.25"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3:17" ht="15.5" x14ac:dyDescent="0.35">
      <c r="C107" s="128"/>
      <c r="D107" s="73"/>
      <c r="E107" s="168"/>
      <c r="F107" s="168"/>
      <c r="G107" s="73"/>
      <c r="H107" s="73"/>
      <c r="I107" s="73"/>
      <c r="J107" s="73"/>
      <c r="K107" s="73"/>
      <c r="L107" s="73"/>
    </row>
    <row r="108" spans="3:17" ht="13" x14ac:dyDescent="0.3">
      <c r="C108" s="73"/>
      <c r="D108" s="168"/>
      <c r="E108" s="168"/>
      <c r="F108" s="168"/>
      <c r="G108" s="168"/>
      <c r="H108" s="168"/>
      <c r="I108" s="168"/>
      <c r="J108" s="168"/>
      <c r="K108" s="168"/>
      <c r="L108" s="168"/>
    </row>
    <row r="109" spans="3:17" ht="13" x14ac:dyDescent="0.3">
      <c r="C109" s="73"/>
      <c r="D109" s="168"/>
      <c r="E109" s="168"/>
      <c r="F109" s="168"/>
      <c r="G109" s="168"/>
      <c r="H109" s="168"/>
      <c r="I109" s="168"/>
      <c r="J109" s="168"/>
      <c r="K109" s="168"/>
      <c r="L109" s="168"/>
    </row>
    <row r="110" spans="3:17" ht="15.5" x14ac:dyDescent="0.35">
      <c r="C110" s="128"/>
      <c r="D110" s="169"/>
      <c r="E110" s="169"/>
      <c r="F110" s="169"/>
      <c r="G110" s="169"/>
      <c r="H110" s="169"/>
      <c r="I110" s="169"/>
      <c r="J110" s="169"/>
      <c r="K110" s="169"/>
      <c r="L110" s="169"/>
    </row>
    <row r="111" spans="3:17" ht="15.5" x14ac:dyDescent="0.35">
      <c r="C111" s="128"/>
      <c r="D111" s="169"/>
      <c r="E111" s="169"/>
      <c r="F111" s="169"/>
      <c r="G111" s="169"/>
      <c r="H111" s="169"/>
      <c r="I111" s="169"/>
      <c r="J111" s="169"/>
      <c r="K111" s="169"/>
      <c r="L111" s="169"/>
    </row>
    <row r="112" spans="3:17" ht="15.5" x14ac:dyDescent="0.35">
      <c r="C112" s="128"/>
      <c r="D112" s="169"/>
      <c r="E112" s="169"/>
      <c r="F112" s="169"/>
      <c r="G112" s="169"/>
      <c r="H112" s="169"/>
      <c r="I112" s="169"/>
      <c r="J112" s="169"/>
      <c r="K112" s="169"/>
      <c r="L112" s="169"/>
    </row>
    <row r="113" spans="3:12" ht="15.5" x14ac:dyDescent="0.35">
      <c r="C113" s="128"/>
      <c r="D113" s="169"/>
      <c r="E113" s="169"/>
      <c r="F113" s="169"/>
      <c r="G113" s="169"/>
      <c r="H113" s="169"/>
      <c r="I113" s="169"/>
      <c r="J113" s="169"/>
      <c r="K113" s="169"/>
      <c r="L113" s="169"/>
    </row>
    <row r="114" spans="3:12" ht="15.5" x14ac:dyDescent="0.35">
      <c r="C114" s="128"/>
      <c r="D114" s="169"/>
      <c r="E114" s="169"/>
      <c r="F114" s="169"/>
      <c r="G114" s="169"/>
      <c r="H114" s="169"/>
      <c r="I114" s="169"/>
      <c r="J114" s="169"/>
      <c r="K114" s="169"/>
      <c r="L114" s="169"/>
    </row>
    <row r="115" spans="3:12" ht="15.5" x14ac:dyDescent="0.35">
      <c r="C115" s="128"/>
      <c r="D115" s="169"/>
      <c r="E115" s="169"/>
      <c r="F115" s="169"/>
      <c r="G115" s="169"/>
      <c r="H115" s="169"/>
      <c r="I115" s="169"/>
      <c r="J115" s="169"/>
      <c r="K115" s="169"/>
      <c r="L115" s="169"/>
    </row>
    <row r="116" spans="3:12" ht="15.5" x14ac:dyDescent="0.35">
      <c r="C116" s="128"/>
      <c r="D116" s="169"/>
      <c r="E116" s="169"/>
      <c r="F116" s="169"/>
      <c r="G116" s="169"/>
      <c r="H116" s="169"/>
      <c r="I116" s="169"/>
      <c r="J116" s="169"/>
      <c r="K116" s="169"/>
      <c r="L116" s="169"/>
    </row>
    <row r="117" spans="3:12" ht="15.5" x14ac:dyDescent="0.35">
      <c r="C117" s="128"/>
      <c r="D117" s="169"/>
      <c r="E117" s="169"/>
      <c r="F117" s="169"/>
      <c r="G117" s="169"/>
      <c r="H117" s="169"/>
      <c r="I117" s="169"/>
      <c r="J117" s="169"/>
      <c r="K117" s="169"/>
      <c r="L117" s="169"/>
    </row>
    <row r="118" spans="3:12" ht="15.5" x14ac:dyDescent="0.35">
      <c r="C118" s="128"/>
      <c r="D118" s="169"/>
      <c r="E118" s="169"/>
      <c r="F118" s="169"/>
      <c r="G118" s="169"/>
      <c r="H118" s="169"/>
      <c r="I118" s="169"/>
      <c r="J118" s="169"/>
      <c r="K118" s="169"/>
      <c r="L118" s="169"/>
    </row>
    <row r="119" spans="3:12" ht="15.5" x14ac:dyDescent="0.35">
      <c r="C119" s="128"/>
      <c r="D119" s="169"/>
      <c r="E119" s="169"/>
      <c r="F119" s="169"/>
      <c r="G119" s="169"/>
      <c r="H119" s="169"/>
      <c r="I119" s="169"/>
      <c r="J119" s="169"/>
      <c r="K119" s="169"/>
      <c r="L119" s="169"/>
    </row>
    <row r="120" spans="3:12" ht="15.5" x14ac:dyDescent="0.35">
      <c r="C120" s="128"/>
      <c r="D120" s="169"/>
      <c r="E120" s="169"/>
      <c r="F120" s="169"/>
      <c r="G120" s="169"/>
      <c r="H120" s="169"/>
      <c r="I120" s="169"/>
      <c r="J120" s="169"/>
      <c r="K120" s="169"/>
      <c r="L120" s="169"/>
    </row>
    <row r="121" spans="3:12" ht="15.5" x14ac:dyDescent="0.35">
      <c r="C121" s="128"/>
      <c r="D121" s="169"/>
      <c r="E121" s="169"/>
      <c r="F121" s="169"/>
      <c r="G121" s="169"/>
      <c r="H121" s="169"/>
      <c r="I121" s="169"/>
      <c r="J121" s="169"/>
      <c r="K121" s="169"/>
      <c r="L121" s="169"/>
    </row>
    <row r="122" spans="3:12" ht="15.5" x14ac:dyDescent="0.35">
      <c r="C122" s="128"/>
      <c r="D122" s="169"/>
      <c r="E122" s="169"/>
      <c r="F122" s="169"/>
      <c r="G122" s="169"/>
      <c r="H122" s="169"/>
      <c r="I122" s="169"/>
      <c r="J122" s="169"/>
      <c r="K122" s="169"/>
      <c r="L122" s="169"/>
    </row>
    <row r="123" spans="3:12" ht="15.5" x14ac:dyDescent="0.35">
      <c r="C123" s="128"/>
      <c r="D123" s="169"/>
      <c r="E123" s="169"/>
      <c r="F123" s="169"/>
      <c r="G123" s="169"/>
      <c r="H123" s="169"/>
      <c r="I123" s="169"/>
      <c r="J123" s="169"/>
      <c r="K123" s="169"/>
      <c r="L123" s="169"/>
    </row>
    <row r="124" spans="3:12" x14ac:dyDescent="0.25">
      <c r="C124" s="73"/>
      <c r="D124" s="73"/>
      <c r="E124" s="73"/>
      <c r="F124" s="73"/>
      <c r="G124" s="73"/>
      <c r="H124" s="73"/>
      <c r="I124" s="73"/>
      <c r="J124" s="73"/>
      <c r="K124" s="73"/>
      <c r="L124" s="73"/>
    </row>
    <row r="125" spans="3:12" x14ac:dyDescent="0.25">
      <c r="C125" s="73"/>
      <c r="D125" s="73"/>
      <c r="E125" s="73"/>
      <c r="F125" s="73"/>
      <c r="G125" s="73"/>
      <c r="H125" s="73"/>
      <c r="I125" s="73"/>
      <c r="J125" s="73"/>
      <c r="K125" s="73"/>
      <c r="L125" s="73"/>
    </row>
    <row r="126" spans="3:12" x14ac:dyDescent="0.25">
      <c r="C126" s="73"/>
      <c r="D126" s="73"/>
      <c r="E126" s="73"/>
      <c r="F126" s="73"/>
      <c r="G126" s="73"/>
      <c r="H126" s="73"/>
      <c r="I126" s="73"/>
      <c r="J126" s="73"/>
      <c r="K126" s="73"/>
      <c r="L126" s="73"/>
    </row>
    <row r="127" spans="3:12" x14ac:dyDescent="0.25">
      <c r="C127" s="73"/>
      <c r="D127" s="73"/>
      <c r="E127" s="73"/>
      <c r="F127" s="73"/>
      <c r="G127" s="73"/>
      <c r="H127" s="73"/>
      <c r="I127" s="73"/>
      <c r="J127" s="73"/>
      <c r="K127" s="73"/>
      <c r="L127" s="73"/>
    </row>
    <row r="128" spans="3:12" x14ac:dyDescent="0.25">
      <c r="C128" s="73"/>
      <c r="D128" s="73"/>
      <c r="E128" s="73"/>
      <c r="F128" s="73"/>
      <c r="G128" s="73"/>
      <c r="H128" s="73"/>
      <c r="I128" s="73"/>
      <c r="J128" s="73"/>
      <c r="K128" s="73"/>
      <c r="L128" s="73"/>
    </row>
    <row r="129" spans="3:12" x14ac:dyDescent="0.25">
      <c r="C129" s="73"/>
      <c r="D129" s="73"/>
      <c r="E129" s="73"/>
      <c r="F129" s="73"/>
      <c r="G129" s="73"/>
      <c r="H129" s="73"/>
      <c r="I129" s="73"/>
      <c r="J129" s="73"/>
      <c r="K129" s="73"/>
      <c r="L129" s="73"/>
    </row>
    <row r="130" spans="3:12" x14ac:dyDescent="0.25">
      <c r="C130" s="73"/>
      <c r="D130" s="73"/>
      <c r="E130" s="73"/>
      <c r="F130" s="73"/>
      <c r="G130" s="73"/>
      <c r="H130" s="73"/>
      <c r="I130" s="73"/>
      <c r="J130" s="73"/>
      <c r="K130" s="73"/>
      <c r="L130" s="73"/>
    </row>
    <row r="131" spans="3:12" x14ac:dyDescent="0.25">
      <c r="C131" s="73"/>
      <c r="D131" s="73"/>
      <c r="E131" s="73"/>
      <c r="F131" s="73"/>
      <c r="G131" s="73"/>
      <c r="H131" s="73"/>
      <c r="I131" s="73"/>
      <c r="J131" s="73"/>
      <c r="K131" s="73"/>
      <c r="L131" s="73"/>
    </row>
    <row r="132" spans="3:12" x14ac:dyDescent="0.25">
      <c r="C132" s="73"/>
      <c r="D132" s="73"/>
      <c r="E132" s="73"/>
      <c r="F132" s="73"/>
      <c r="G132" s="73"/>
      <c r="H132" s="73"/>
      <c r="I132" s="73"/>
      <c r="J132" s="73"/>
      <c r="K132" s="73"/>
      <c r="L132" s="73"/>
    </row>
    <row r="133" spans="3:12" x14ac:dyDescent="0.25">
      <c r="C133" s="73"/>
      <c r="D133" s="73"/>
      <c r="E133" s="73"/>
      <c r="F133" s="73"/>
      <c r="G133" s="73"/>
      <c r="H133" s="73"/>
      <c r="I133" s="73"/>
      <c r="J133" s="73"/>
      <c r="K133" s="73"/>
      <c r="L133" s="73"/>
    </row>
    <row r="134" spans="3:12" x14ac:dyDescent="0.25">
      <c r="C134" s="73"/>
      <c r="D134" s="73"/>
      <c r="E134" s="73"/>
      <c r="F134" s="73"/>
      <c r="G134" s="73"/>
      <c r="H134" s="73"/>
      <c r="I134" s="73"/>
      <c r="J134" s="73"/>
      <c r="K134" s="73"/>
      <c r="L134" s="73"/>
    </row>
    <row r="135" spans="3:12" x14ac:dyDescent="0.25">
      <c r="C135" s="73"/>
      <c r="D135" s="73"/>
      <c r="E135" s="73"/>
      <c r="F135" s="73"/>
      <c r="G135" s="73"/>
      <c r="H135" s="73"/>
      <c r="I135" s="73"/>
      <c r="J135" s="73"/>
      <c r="K135" s="73"/>
      <c r="L135" s="73"/>
    </row>
    <row r="136" spans="3:12" x14ac:dyDescent="0.25">
      <c r="C136" s="73"/>
      <c r="D136" s="73"/>
      <c r="E136" s="73"/>
      <c r="F136" s="73"/>
      <c r="G136" s="73"/>
      <c r="H136" s="73"/>
      <c r="I136" s="73"/>
      <c r="J136" s="73"/>
      <c r="K136" s="73"/>
      <c r="L136" s="73"/>
    </row>
    <row r="137" spans="3:12" x14ac:dyDescent="0.25">
      <c r="C137" s="73"/>
      <c r="D137" s="73"/>
      <c r="E137" s="73"/>
      <c r="F137" s="73"/>
      <c r="G137" s="73"/>
      <c r="H137" s="73"/>
      <c r="I137" s="73"/>
      <c r="J137" s="73"/>
      <c r="K137" s="73"/>
      <c r="L137" s="73"/>
    </row>
    <row r="138" spans="3:12" x14ac:dyDescent="0.25">
      <c r="C138" s="73"/>
      <c r="D138" s="73"/>
      <c r="E138" s="73"/>
      <c r="F138" s="73"/>
      <c r="G138" s="73"/>
      <c r="H138" s="73"/>
      <c r="I138" s="73"/>
      <c r="J138" s="73"/>
      <c r="K138" s="73"/>
      <c r="L138" s="73"/>
    </row>
    <row r="139" spans="3:12" x14ac:dyDescent="0.25">
      <c r="C139" s="73"/>
      <c r="D139" s="73"/>
      <c r="E139" s="73"/>
      <c r="F139" s="73"/>
      <c r="G139" s="73"/>
      <c r="H139" s="73"/>
      <c r="I139" s="73"/>
      <c r="J139" s="73"/>
      <c r="K139" s="73"/>
      <c r="L139" s="73"/>
    </row>
    <row r="140" spans="3:12" x14ac:dyDescent="0.25">
      <c r="C140" s="73"/>
      <c r="D140" s="73"/>
      <c r="E140" s="73"/>
      <c r="F140" s="73"/>
      <c r="G140" s="73"/>
      <c r="H140" s="73"/>
      <c r="I140" s="73"/>
      <c r="J140" s="73"/>
      <c r="K140" s="73"/>
      <c r="L140" s="73"/>
    </row>
    <row r="141" spans="3:12" x14ac:dyDescent="0.25">
      <c r="C141" s="73"/>
      <c r="D141" s="73"/>
      <c r="E141" s="73"/>
      <c r="F141" s="73"/>
      <c r="G141" s="73"/>
      <c r="H141" s="73"/>
      <c r="I141" s="73"/>
      <c r="J141" s="73"/>
      <c r="K141" s="73"/>
      <c r="L141" s="73"/>
    </row>
    <row r="142" spans="3:12" x14ac:dyDescent="0.25">
      <c r="C142" s="73"/>
      <c r="D142" s="73"/>
      <c r="E142" s="73"/>
      <c r="F142" s="73"/>
      <c r="G142" s="73"/>
      <c r="H142" s="73"/>
      <c r="I142" s="73"/>
      <c r="J142" s="73"/>
      <c r="K142" s="73"/>
      <c r="L142" s="73"/>
    </row>
    <row r="143" spans="3:12" x14ac:dyDescent="0.25">
      <c r="C143" s="73"/>
      <c r="D143" s="73"/>
      <c r="E143" s="73"/>
      <c r="F143" s="73"/>
      <c r="G143" s="73"/>
      <c r="H143" s="73"/>
      <c r="I143" s="73"/>
      <c r="J143" s="73"/>
      <c r="K143" s="73"/>
      <c r="L143" s="73"/>
    </row>
  </sheetData>
  <conditionalFormatting sqref="I31:M44">
    <cfRule type="expression" dxfId="4" priority="8">
      <formula>NOT($C$2)</formula>
    </cfRule>
  </conditionalFormatting>
  <conditionalFormatting sqref="I51:N64">
    <cfRule type="expression" dxfId="3" priority="7">
      <formula>NOT($C$3)</formula>
    </cfRule>
  </conditionalFormatting>
  <conditionalFormatting sqref="D70:N83">
    <cfRule type="expression" dxfId="2" priority="6">
      <formula>NOT($C$4)</formula>
    </cfRule>
  </conditionalFormatting>
  <conditionalFormatting sqref="N31:N44">
    <cfRule type="expression" dxfId="1" priority="4">
      <formula>NOT($C$2)</formula>
    </cfRule>
  </conditionalFormatting>
  <conditionalFormatting sqref="N51:N64">
    <cfRule type="expression" dxfId="0" priority="3">
      <formula>NOT($C$2)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C3:Q195"/>
  <sheetViews>
    <sheetView topLeftCell="A150" zoomScale="90" zoomScaleNormal="90" workbookViewId="0">
      <selection activeCell="I184" sqref="I184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158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18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'Car+SUV'!D7+'Van+Ute'!D7</f>
        <v>1465.9001788699015</v>
      </c>
      <c r="E7" s="53">
        <f>'Car+SUV'!E7+'Van+Ute'!E7</f>
        <v>1542.577036066582</v>
      </c>
      <c r="F7" s="53">
        <f>'Car+SUV'!F7+'Van+Ute'!F7</f>
        <v>1594.2837917122906</v>
      </c>
      <c r="G7" s="53">
        <f>'Car+SUV'!G7+'Van+Ute'!G7</f>
        <v>1669.2193281241059</v>
      </c>
      <c r="H7" s="53">
        <f>'Car+SUV'!H7+'Van+Ute'!H7</f>
        <v>1708.0208376151754</v>
      </c>
      <c r="I7" s="53">
        <f>'Car+SUV'!I7+'Van+Ute'!I7</f>
        <v>1894.7122781313735</v>
      </c>
      <c r="J7" s="53">
        <f ca="1">'Car+SUV'!J7+'Van+Ute'!J7</f>
        <v>2026.7130597627165</v>
      </c>
      <c r="K7" s="53">
        <f ca="1">'Car+SUV'!K7+'Van+Ute'!K7</f>
        <v>2145.2107105882405</v>
      </c>
      <c r="L7" s="53">
        <f ca="1">'Car+SUV'!L7+'Van+Ute'!L7</f>
        <v>2251.6802158794999</v>
      </c>
      <c r="M7" s="53">
        <f ca="1">'Car+SUV'!M7+'Van+Ute'!M7</f>
        <v>2340.4485713330923</v>
      </c>
      <c r="N7" s="53">
        <f ca="1">'Car+SUV'!N7+'Van+Ute'!N7</f>
        <v>2422.9054401519256</v>
      </c>
      <c r="O7" s="53">
        <f ca="1">'Car+SUV'!O7+'Van+Ute'!O7</f>
        <v>2504.3844504906701</v>
      </c>
      <c r="P7" s="53">
        <f ca="1">'Car+SUV'!P7+'Van+Ute'!P7</f>
        <v>2580.7466531777118</v>
      </c>
      <c r="Q7" s="54">
        <f ca="1">'Car+SUV'!Q7+'Van+Ute'!Q7</f>
        <v>2651.5824725869588</v>
      </c>
    </row>
    <row r="8" spans="3:17" ht="15.5" x14ac:dyDescent="0.35">
      <c r="C8" s="24" t="s">
        <v>1</v>
      </c>
      <c r="D8" s="55">
        <f>'Car+SUV'!D8+'Van+Ute'!D8</f>
        <v>11456.032535185117</v>
      </c>
      <c r="E8" s="56">
        <f>'Car+SUV'!E8+'Van+Ute'!E8</f>
        <v>11658.602745396805</v>
      </c>
      <c r="F8" s="56">
        <f>'Car+SUV'!F8+'Van+Ute'!F8</f>
        <v>11886.231449157225</v>
      </c>
      <c r="G8" s="56">
        <f>'Car+SUV'!G8+'Van+Ute'!G8</f>
        <v>12217.713823559432</v>
      </c>
      <c r="H8" s="56">
        <f>'Car+SUV'!H8+'Van+Ute'!H8</f>
        <v>12750.927489676305</v>
      </c>
      <c r="I8" s="56">
        <f>'Car+SUV'!I8+'Van+Ute'!I8</f>
        <v>12730.103649909999</v>
      </c>
      <c r="J8" s="56">
        <f ca="1">'Car+SUV'!J8+'Van+Ute'!J8</f>
        <v>13880.234578601234</v>
      </c>
      <c r="K8" s="56">
        <f ca="1">'Car+SUV'!K8+'Van+Ute'!K8</f>
        <v>14909.194792026437</v>
      </c>
      <c r="L8" s="56">
        <f ca="1">'Car+SUV'!L8+'Van+Ute'!L8</f>
        <v>15970.464402356549</v>
      </c>
      <c r="M8" s="56">
        <f ca="1">'Car+SUV'!M8+'Van+Ute'!M8</f>
        <v>16959.762775672887</v>
      </c>
      <c r="N8" s="56">
        <f ca="1">'Car+SUV'!N8+'Van+Ute'!N8</f>
        <v>17970.944415094811</v>
      </c>
      <c r="O8" s="56">
        <f ca="1">'Car+SUV'!O8+'Van+Ute'!O8</f>
        <v>19022.76291615457</v>
      </c>
      <c r="P8" s="56">
        <f ca="1">'Car+SUV'!P8+'Van+Ute'!P8</f>
        <v>20067.688040399393</v>
      </c>
      <c r="Q8" s="57">
        <f ca="1">'Car+SUV'!Q8+'Van+Ute'!Q8</f>
        <v>21090.198433840396</v>
      </c>
    </row>
    <row r="9" spans="3:17" ht="15.5" x14ac:dyDescent="0.35">
      <c r="C9" s="24" t="s">
        <v>2</v>
      </c>
      <c r="D9" s="55">
        <f>'Car+SUV'!D9+'Van+Ute'!D9</f>
        <v>4736.0314982124992</v>
      </c>
      <c r="E9" s="56">
        <f>'Car+SUV'!E9+'Van+Ute'!E9</f>
        <v>4664.7571808219618</v>
      </c>
      <c r="F9" s="56">
        <f>'Car+SUV'!F9+'Van+Ute'!F9</f>
        <v>4887.2130310719922</v>
      </c>
      <c r="G9" s="56">
        <f>'Car+SUV'!G9+'Van+Ute'!G9</f>
        <v>5164.2455879200506</v>
      </c>
      <c r="H9" s="56">
        <f>'Car+SUV'!H9+'Van+Ute'!H9</f>
        <v>5467.3405339500432</v>
      </c>
      <c r="I9" s="56">
        <f>'Car+SUV'!I9+'Van+Ute'!I9</f>
        <v>5913.5987785565794</v>
      </c>
      <c r="J9" s="56">
        <f ca="1">'Car+SUV'!J9+'Van+Ute'!J9</f>
        <v>6360.0511826687052</v>
      </c>
      <c r="K9" s="56">
        <f ca="1">'Car+SUV'!K9+'Van+Ute'!K9</f>
        <v>6760.0068555617981</v>
      </c>
      <c r="L9" s="56">
        <f ca="1">'Car+SUV'!L9+'Van+Ute'!L9</f>
        <v>7130.6978270121263</v>
      </c>
      <c r="M9" s="56">
        <f ca="1">'Car+SUV'!M9+'Van+Ute'!M9</f>
        <v>7450.3826423395603</v>
      </c>
      <c r="N9" s="56">
        <f ca="1">'Car+SUV'!N9+'Van+Ute'!N9</f>
        <v>7760.8407596258076</v>
      </c>
      <c r="O9" s="56">
        <f ca="1">'Car+SUV'!O9+'Van+Ute'!O9</f>
        <v>8070.1737389932314</v>
      </c>
      <c r="P9" s="56">
        <f ca="1">'Car+SUV'!P9+'Van+Ute'!P9</f>
        <v>8361.4994560074065</v>
      </c>
      <c r="Q9" s="57">
        <f ca="1">'Car+SUV'!Q9+'Van+Ute'!Q9</f>
        <v>8631.3673209862318</v>
      </c>
    </row>
    <row r="10" spans="3:17" ht="15.5" x14ac:dyDescent="0.35">
      <c r="C10" s="24" t="s">
        <v>3</v>
      </c>
      <c r="D10" s="55">
        <f>'Car+SUV'!D10+'Van+Ute'!D10</f>
        <v>2367.2609167102046</v>
      </c>
      <c r="E10" s="56">
        <f>'Car+SUV'!E10+'Van+Ute'!E10</f>
        <v>2461.636221498175</v>
      </c>
      <c r="F10" s="56">
        <f>'Car+SUV'!F10+'Van+Ute'!F10</f>
        <v>2479.2661163010935</v>
      </c>
      <c r="G10" s="56">
        <f>'Car+SUV'!G10+'Van+Ute'!G10</f>
        <v>2578.5851118006385</v>
      </c>
      <c r="H10" s="56">
        <f>'Car+SUV'!H10+'Van+Ute'!H10</f>
        <v>2933.2001445744304</v>
      </c>
      <c r="I10" s="56">
        <f>'Car+SUV'!I10+'Van+Ute'!I10</f>
        <v>2996.0382106801976</v>
      </c>
      <c r="J10" s="56">
        <f ca="1">'Car+SUV'!J10+'Van+Ute'!J10</f>
        <v>3192.9491238204218</v>
      </c>
      <c r="K10" s="56">
        <f ca="1">'Car+SUV'!K10+'Van+Ute'!K10</f>
        <v>3368.4214646941459</v>
      </c>
      <c r="L10" s="56">
        <f ca="1">'Car+SUV'!L10+'Van+Ute'!L10</f>
        <v>3527.020144133824</v>
      </c>
      <c r="M10" s="56">
        <f ca="1">'Car+SUV'!M10+'Van+Ute'!M10</f>
        <v>3657.0711138268061</v>
      </c>
      <c r="N10" s="56">
        <f ca="1">'Car+SUV'!N10+'Van+Ute'!N10</f>
        <v>3780.982807024815</v>
      </c>
      <c r="O10" s="56">
        <f ca="1">'Car+SUV'!O10+'Van+Ute'!O10</f>
        <v>3901.8194308198345</v>
      </c>
      <c r="P10" s="56">
        <f ca="1">'Car+SUV'!P10+'Van+Ute'!P10</f>
        <v>4011.8881309650501</v>
      </c>
      <c r="Q10" s="57">
        <f ca="1">'Car+SUV'!Q10+'Van+Ute'!Q10</f>
        <v>4109.8395641888546</v>
      </c>
    </row>
    <row r="11" spans="3:17" ht="15.5" x14ac:dyDescent="0.35">
      <c r="C11" s="24" t="s">
        <v>4</v>
      </c>
      <c r="D11" s="55">
        <f>'Car+SUV'!D11+'Van+Ute'!D11</f>
        <v>337.84405488217305</v>
      </c>
      <c r="E11" s="56">
        <f>'Car+SUV'!E11+'Van+Ute'!E11</f>
        <v>342.66695755799697</v>
      </c>
      <c r="F11" s="56">
        <f>'Car+SUV'!F11+'Van+Ute'!F11</f>
        <v>360.38298607666002</v>
      </c>
      <c r="G11" s="56">
        <f>'Car+SUV'!G11+'Van+Ute'!G11</f>
        <v>373.70726479904835</v>
      </c>
      <c r="H11" s="56">
        <f>'Car+SUV'!H11+'Van+Ute'!H11</f>
        <v>366.07324288196833</v>
      </c>
      <c r="I11" s="56">
        <f>'Car+SUV'!I11+'Van+Ute'!I11</f>
        <v>382.37431361627495</v>
      </c>
      <c r="J11" s="56">
        <f ca="1">'Car+SUV'!J11+'Van+Ute'!J11</f>
        <v>396.99582086951648</v>
      </c>
      <c r="K11" s="56">
        <f ca="1">'Car+SUV'!K11+'Van+Ute'!K11</f>
        <v>410.34266197765947</v>
      </c>
      <c r="L11" s="56">
        <f ca="1">'Car+SUV'!L11+'Van+Ute'!L11</f>
        <v>421.3619612420797</v>
      </c>
      <c r="M11" s="56">
        <f ca="1">'Car+SUV'!M11+'Van+Ute'!M11</f>
        <v>428.14440673581464</v>
      </c>
      <c r="N11" s="56">
        <f ca="1">'Car+SUV'!N11+'Van+Ute'!N11</f>
        <v>434.09046720040703</v>
      </c>
      <c r="O11" s="56">
        <f ca="1">'Car+SUV'!O11+'Van+Ute'!O11</f>
        <v>439.60485064460147</v>
      </c>
      <c r="P11" s="56">
        <f ca="1">'Car+SUV'!P11+'Van+Ute'!P11</f>
        <v>443.63306073690779</v>
      </c>
      <c r="Q11" s="57">
        <f ca="1">'Car+SUV'!Q11+'Van+Ute'!Q11</f>
        <v>446.11437751490018</v>
      </c>
    </row>
    <row r="12" spans="3:17" ht="15.5" x14ac:dyDescent="0.35">
      <c r="C12" s="24" t="s">
        <v>5</v>
      </c>
      <c r="D12" s="55">
        <f>'Car+SUV'!D12+'Van+Ute'!D12</f>
        <v>1299.1644269156866</v>
      </c>
      <c r="E12" s="56">
        <f>'Car+SUV'!E12+'Van+Ute'!E12</f>
        <v>1299.3447856024945</v>
      </c>
      <c r="F12" s="56">
        <f>'Car+SUV'!F12+'Van+Ute'!F12</f>
        <v>1364.7269388919879</v>
      </c>
      <c r="G12" s="56">
        <f>'Car+SUV'!G12+'Van+Ute'!G12</f>
        <v>1435.8468313325827</v>
      </c>
      <c r="H12" s="56">
        <f>'Car+SUV'!H12+'Van+Ute'!H12</f>
        <v>1492.4432562835455</v>
      </c>
      <c r="I12" s="56">
        <f>'Car+SUV'!I12+'Van+Ute'!I12</f>
        <v>1540.2705844871189</v>
      </c>
      <c r="J12" s="56">
        <f ca="1">'Car+SUV'!J12+'Van+Ute'!J12</f>
        <v>1640.054203589727</v>
      </c>
      <c r="K12" s="56">
        <f ca="1">'Car+SUV'!K12+'Van+Ute'!K12</f>
        <v>1730.0439739065498</v>
      </c>
      <c r="L12" s="56">
        <f ca="1">'Car+SUV'!L12+'Van+Ute'!L12</f>
        <v>1811.6930593800826</v>
      </c>
      <c r="M12" s="56">
        <f ca="1">'Car+SUV'!M12+'Van+Ute'!M12</f>
        <v>1880.3793601027592</v>
      </c>
      <c r="N12" s="56">
        <f ca="1">'Car+SUV'!N12+'Van+Ute'!N12</f>
        <v>1948.1428447400192</v>
      </c>
      <c r="O12" s="56">
        <f ca="1">'Car+SUV'!O12+'Van+Ute'!O12</f>
        <v>2016.5382201539646</v>
      </c>
      <c r="P12" s="56">
        <f ca="1">'Car+SUV'!P12+'Van+Ute'!P12</f>
        <v>2081.307749475925</v>
      </c>
      <c r="Q12" s="57">
        <f ca="1">'Car+SUV'!Q12+'Van+Ute'!Q12</f>
        <v>2141.8612351211395</v>
      </c>
    </row>
    <row r="13" spans="3:17" ht="15.5" x14ac:dyDescent="0.35">
      <c r="C13" s="24" t="s">
        <v>6</v>
      </c>
      <c r="D13" s="55">
        <f>'Car+SUV'!D13+'Van+Ute'!D13</f>
        <v>901.13286110877539</v>
      </c>
      <c r="E13" s="56">
        <f>'Car+SUV'!E13+'Van+Ute'!E13</f>
        <v>928.7783940585864</v>
      </c>
      <c r="F13" s="56">
        <f>'Car+SUV'!F13+'Van+Ute'!F13</f>
        <v>966.1067400862222</v>
      </c>
      <c r="G13" s="56">
        <f>'Car+SUV'!G13+'Van+Ute'!G13</f>
        <v>1004.8171384902989</v>
      </c>
      <c r="H13" s="56">
        <f>'Car+SUV'!H13+'Van+Ute'!H13</f>
        <v>1033.9423409358722</v>
      </c>
      <c r="I13" s="56">
        <f>'Car+SUV'!I13+'Van+Ute'!I13</f>
        <v>1071.4473855802908</v>
      </c>
      <c r="J13" s="56">
        <f ca="1">'Car+SUV'!J13+'Van+Ute'!J13</f>
        <v>1147.0970759959155</v>
      </c>
      <c r="K13" s="56">
        <f ca="1">'Car+SUV'!K13+'Van+Ute'!K13</f>
        <v>1215.8682646934008</v>
      </c>
      <c r="L13" s="56">
        <f ca="1">'Car+SUV'!L13+'Van+Ute'!L13</f>
        <v>1280.8217285248484</v>
      </c>
      <c r="M13" s="56">
        <f ca="1">'Car+SUV'!M13+'Van+Ute'!M13</f>
        <v>1337.201275620512</v>
      </c>
      <c r="N13" s="56">
        <f ca="1">'Car+SUV'!N13+'Van+Ute'!N13</f>
        <v>1392.9342919422972</v>
      </c>
      <c r="O13" s="56">
        <f ca="1">'Car+SUV'!O13+'Van+Ute'!O13</f>
        <v>1449.0535631601574</v>
      </c>
      <c r="P13" s="56">
        <f ca="1">'Car+SUV'!P13+'Van+Ute'!P13</f>
        <v>1502.9330509152446</v>
      </c>
      <c r="Q13" s="57">
        <f ca="1">'Car+SUV'!Q13+'Van+Ute'!Q13</f>
        <v>1554.3267680982458</v>
      </c>
    </row>
    <row r="14" spans="3:17" ht="15.5" x14ac:dyDescent="0.35">
      <c r="C14" s="24" t="s">
        <v>7</v>
      </c>
      <c r="D14" s="55">
        <f>'Car+SUV'!D14+'Van+Ute'!D14</f>
        <v>2098.4702717037394</v>
      </c>
      <c r="E14" s="56">
        <f>'Car+SUV'!E14+'Van+Ute'!E14</f>
        <v>2132.7435761949328</v>
      </c>
      <c r="F14" s="56">
        <f>'Car+SUV'!F14+'Van+Ute'!F14</f>
        <v>2182.0577739367814</v>
      </c>
      <c r="G14" s="56">
        <f>'Car+SUV'!G14+'Van+Ute'!G14</f>
        <v>2296.8826558480814</v>
      </c>
      <c r="H14" s="56">
        <f>'Car+SUV'!H14+'Van+Ute'!H14</f>
        <v>2364.9601664571505</v>
      </c>
      <c r="I14" s="56">
        <f>'Car+SUV'!I14+'Van+Ute'!I14</f>
        <v>2390.8669396306514</v>
      </c>
      <c r="J14" s="56">
        <f ca="1">'Car+SUV'!J14+'Van+Ute'!J14</f>
        <v>2510.4386289319095</v>
      </c>
      <c r="K14" s="56">
        <f ca="1">'Car+SUV'!K14+'Van+Ute'!K14</f>
        <v>2617.5652155034877</v>
      </c>
      <c r="L14" s="56">
        <f ca="1">'Car+SUV'!L14+'Van+Ute'!L14</f>
        <v>2709.9359794005177</v>
      </c>
      <c r="M14" s="56">
        <f ca="1">'Car+SUV'!M14+'Van+Ute'!M14</f>
        <v>2779.8455714890288</v>
      </c>
      <c r="N14" s="56">
        <f ca="1">'Car+SUV'!N14+'Van+Ute'!N14</f>
        <v>2842.476917113841</v>
      </c>
      <c r="O14" s="56">
        <f ca="1">'Car+SUV'!O14+'Van+Ute'!O14</f>
        <v>2903.8560256961496</v>
      </c>
      <c r="P14" s="56">
        <f ca="1">'Car+SUV'!P14+'Van+Ute'!P14</f>
        <v>2957.989235885485</v>
      </c>
      <c r="Q14" s="57">
        <f ca="1">'Car+SUV'!Q14+'Van+Ute'!Q14</f>
        <v>3004.5953892079242</v>
      </c>
    </row>
    <row r="15" spans="3:17" ht="15.5" x14ac:dyDescent="0.35">
      <c r="C15" s="24" t="s">
        <v>8</v>
      </c>
      <c r="D15" s="55">
        <f>'Car+SUV'!D15+'Van+Ute'!D15</f>
        <v>3192.5352082107588</v>
      </c>
      <c r="E15" s="56">
        <f>'Car+SUV'!E15+'Van+Ute'!E15</f>
        <v>3262.1054527371243</v>
      </c>
      <c r="F15" s="56">
        <f>'Car+SUV'!F15+'Van+Ute'!F15</f>
        <v>3506.0921557604988</v>
      </c>
      <c r="G15" s="56">
        <f>'Car+SUV'!G15+'Van+Ute'!G15</f>
        <v>3433.8432317825359</v>
      </c>
      <c r="H15" s="56">
        <f>'Car+SUV'!H15+'Van+Ute'!H15</f>
        <v>3429.4907148351576</v>
      </c>
      <c r="I15" s="56">
        <f>'Car+SUV'!I15+'Van+Ute'!I15</f>
        <v>3596.5349386357393</v>
      </c>
      <c r="J15" s="56">
        <f ca="1">'Car+SUV'!J15+'Van+Ute'!J15</f>
        <v>3867.9829614403588</v>
      </c>
      <c r="K15" s="56">
        <f ca="1">'Car+SUV'!K15+'Van+Ute'!K15</f>
        <v>4118.3045899895524</v>
      </c>
      <c r="L15" s="56">
        <f ca="1">'Car+SUV'!L15+'Van+Ute'!L15</f>
        <v>4356.4485948345773</v>
      </c>
      <c r="M15" s="56">
        <f ca="1">'Car+SUV'!M15+'Van+Ute'!M15</f>
        <v>4566.1052078883149</v>
      </c>
      <c r="N15" s="56">
        <f ca="1">'Car+SUV'!N15+'Van+Ute'!N15</f>
        <v>4772.3198240612428</v>
      </c>
      <c r="O15" s="56">
        <f ca="1">'Car+SUV'!O15+'Van+Ute'!O15</f>
        <v>4981.9805548701697</v>
      </c>
      <c r="P15" s="56">
        <f ca="1">'Car+SUV'!P15+'Van+Ute'!P15</f>
        <v>5184.3925009225713</v>
      </c>
      <c r="Q15" s="57">
        <f ca="1">'Car+SUV'!Q15+'Van+Ute'!Q15</f>
        <v>5378.1643754917013</v>
      </c>
    </row>
    <row r="16" spans="3:17" ht="15.5" x14ac:dyDescent="0.35">
      <c r="C16" s="24" t="s">
        <v>9</v>
      </c>
      <c r="D16" s="55">
        <f>'Car+SUV'!D16+'Van+Ute'!D16</f>
        <v>1147.899956867187</v>
      </c>
      <c r="E16" s="56">
        <f>'Car+SUV'!E16+'Van+Ute'!E16</f>
        <v>1169.8650359152093</v>
      </c>
      <c r="F16" s="56">
        <f>'Car+SUV'!F16+'Van+Ute'!F16</f>
        <v>1121.7235435958335</v>
      </c>
      <c r="G16" s="56">
        <f>'Car+SUV'!G16+'Van+Ute'!G16</f>
        <v>1312.1780976948098</v>
      </c>
      <c r="H16" s="56">
        <f>'Car+SUV'!H16+'Van+Ute'!H16</f>
        <v>1367.2767773768182</v>
      </c>
      <c r="I16" s="56">
        <f>'Car+SUV'!I16+'Van+Ute'!I16</f>
        <v>1471.3249738391467</v>
      </c>
      <c r="J16" s="56">
        <f ca="1">'Car+SUV'!J16+'Van+Ute'!J16</f>
        <v>1549.5263202252145</v>
      </c>
      <c r="K16" s="56">
        <f ca="1">'Car+SUV'!K16+'Van+Ute'!K16</f>
        <v>1621.3476919421685</v>
      </c>
      <c r="L16" s="56">
        <f ca="1">'Car+SUV'!L16+'Van+Ute'!L16</f>
        <v>1684.2149756625454</v>
      </c>
      <c r="M16" s="56">
        <f ca="1">'Car+SUV'!M16+'Van+Ute'!M16</f>
        <v>1733.4660528852751</v>
      </c>
      <c r="N16" s="56">
        <f ca="1">'Car+SUV'!N16+'Van+Ute'!N16</f>
        <v>1776.7522873857649</v>
      </c>
      <c r="O16" s="56">
        <f ca="1">'Car+SUV'!O16+'Van+Ute'!O16</f>
        <v>1818.7596767217385</v>
      </c>
      <c r="P16" s="56">
        <f ca="1">'Car+SUV'!P16+'Van+Ute'!P16</f>
        <v>1855.1169085053518</v>
      </c>
      <c r="Q16" s="57">
        <f ca="1">'Car+SUV'!Q16+'Van+Ute'!Q16</f>
        <v>1885.1166120767002</v>
      </c>
    </row>
    <row r="17" spans="3:17" ht="15.5" x14ac:dyDescent="0.35">
      <c r="C17" s="24" t="s">
        <v>10</v>
      </c>
      <c r="D17" s="55">
        <f>'Car+SUV'!D17+'Van+Ute'!D17</f>
        <v>435.61913494904485</v>
      </c>
      <c r="E17" s="56">
        <f>'Car+SUV'!E17+'Van+Ute'!E17</f>
        <v>435.75887383333134</v>
      </c>
      <c r="F17" s="56">
        <f>'Car+SUV'!F17+'Van+Ute'!F17</f>
        <v>465.86554465516548</v>
      </c>
      <c r="G17" s="56">
        <f>'Car+SUV'!G17+'Van+Ute'!G17</f>
        <v>489.258827515083</v>
      </c>
      <c r="H17" s="56">
        <f>'Car+SUV'!H17+'Van+Ute'!H17</f>
        <v>505.67249632913251</v>
      </c>
      <c r="I17" s="56">
        <f>'Car+SUV'!I17+'Van+Ute'!I17</f>
        <v>551.60259031128521</v>
      </c>
      <c r="J17" s="56">
        <f ca="1">'Car+SUV'!J17+'Van+Ute'!J17</f>
        <v>563.50285311148627</v>
      </c>
      <c r="K17" s="56">
        <f ca="1">'Car+SUV'!K17+'Van+Ute'!K17</f>
        <v>572.99197446294545</v>
      </c>
      <c r="L17" s="56">
        <f ca="1">'Car+SUV'!L17+'Van+Ute'!L17</f>
        <v>578.69176428835044</v>
      </c>
      <c r="M17" s="56">
        <f ca="1">'Car+SUV'!M17+'Van+Ute'!M17</f>
        <v>579.32063931485823</v>
      </c>
      <c r="N17" s="56">
        <f ca="1">'Car+SUV'!N17+'Van+Ute'!N17</f>
        <v>579.02473575268641</v>
      </c>
      <c r="O17" s="56">
        <f ca="1">'Car+SUV'!O17+'Van+Ute'!O17</f>
        <v>577.87945393188306</v>
      </c>
      <c r="P17" s="56">
        <f ca="1">'Car+SUV'!P17+'Van+Ute'!P17</f>
        <v>574.71846389210509</v>
      </c>
      <c r="Q17" s="57">
        <f ca="1">'Car+SUV'!Q17+'Van+Ute'!Q17</f>
        <v>569.51348847430177</v>
      </c>
    </row>
    <row r="18" spans="3:17" ht="15.5" x14ac:dyDescent="0.35">
      <c r="C18" s="24" t="s">
        <v>11</v>
      </c>
      <c r="D18" s="55">
        <f>'Car+SUV'!D18+'Van+Ute'!D18</f>
        <v>4808.4737206601094</v>
      </c>
      <c r="E18" s="56">
        <f>'Car+SUV'!E18+'Van+Ute'!E18</f>
        <v>5072.3404656229986</v>
      </c>
      <c r="F18" s="56">
        <f>'Car+SUV'!F18+'Van+Ute'!F18</f>
        <v>5327.6388952680099</v>
      </c>
      <c r="G18" s="56">
        <f>'Car+SUV'!G18+'Van+Ute'!G18</f>
        <v>5655.8341077913246</v>
      </c>
      <c r="H18" s="56">
        <f>'Car+SUV'!H18+'Van+Ute'!H18</f>
        <v>5721.600354637043</v>
      </c>
      <c r="I18" s="56">
        <f>'Car+SUV'!I18+'Van+Ute'!I18</f>
        <v>6070.9859179753385</v>
      </c>
      <c r="J18" s="56">
        <f ca="1">'Car+SUV'!J18+'Van+Ute'!J18</f>
        <v>6695.4623511170676</v>
      </c>
      <c r="K18" s="56">
        <f ca="1">'Car+SUV'!K18+'Van+Ute'!K18</f>
        <v>7253.2817464432665</v>
      </c>
      <c r="L18" s="56">
        <f ca="1">'Car+SUV'!L18+'Van+Ute'!L18</f>
        <v>7796.9397310719905</v>
      </c>
      <c r="M18" s="56">
        <f ca="1">'Car+SUV'!M18+'Van+Ute'!M18</f>
        <v>8310.026754778919</v>
      </c>
      <c r="N18" s="56">
        <f ca="1">'Car+SUV'!N18+'Van+Ute'!N18</f>
        <v>8834.8262628584707</v>
      </c>
      <c r="O18" s="56">
        <f ca="1">'Car+SUV'!O18+'Van+Ute'!O18</f>
        <v>9385.6864399446531</v>
      </c>
      <c r="P18" s="56">
        <f ca="1">'Car+SUV'!P18+'Van+Ute'!P18</f>
        <v>9934.476670281827</v>
      </c>
      <c r="Q18" s="57">
        <f ca="1">'Car+SUV'!Q18+'Van+Ute'!Q18</f>
        <v>10473.912900094769</v>
      </c>
    </row>
    <row r="19" spans="3:17" ht="15.5" x14ac:dyDescent="0.35">
      <c r="C19" s="24" t="s">
        <v>12</v>
      </c>
      <c r="D19" s="55">
        <f>'Car+SUV'!D19+'Van+Ute'!D19</f>
        <v>1946.8984179757592</v>
      </c>
      <c r="E19" s="56">
        <f>'Car+SUV'!E19+'Van+Ute'!E19</f>
        <v>2019.9481582484379</v>
      </c>
      <c r="F19" s="56">
        <f>'Car+SUV'!F19+'Van+Ute'!F19</f>
        <v>2095.9214649838955</v>
      </c>
      <c r="G19" s="56">
        <f>'Car+SUV'!G19+'Van+Ute'!G19</f>
        <v>2191.9716709463282</v>
      </c>
      <c r="H19" s="56">
        <f>'Car+SUV'!H19+'Van+Ute'!H19</f>
        <v>2297.5275188095584</v>
      </c>
      <c r="I19" s="56">
        <f>'Car+SUV'!I19+'Van+Ute'!I19</f>
        <v>2506.3590413496559</v>
      </c>
      <c r="J19" s="56">
        <f ca="1">'Car+SUV'!J19+'Van+Ute'!J19</f>
        <v>2752.7530471330501</v>
      </c>
      <c r="K19" s="56">
        <f ca="1">'Car+SUV'!K19+'Van+Ute'!K19</f>
        <v>2963.9552944945899</v>
      </c>
      <c r="L19" s="56">
        <f ca="1">'Car+SUV'!L19+'Van+Ute'!L19</f>
        <v>3167.7728909421598</v>
      </c>
      <c r="M19" s="56">
        <f ca="1">'Car+SUV'!M19+'Van+Ute'!M19</f>
        <v>3354.7125324411768</v>
      </c>
      <c r="N19" s="56">
        <f ca="1">'Car+SUV'!N19+'Van+Ute'!N19</f>
        <v>3544.4049173417197</v>
      </c>
      <c r="O19" s="56">
        <f ca="1">'Car+SUV'!O19+'Van+Ute'!O19</f>
        <v>3740.1673100570906</v>
      </c>
      <c r="P19" s="56">
        <f ca="1">'Car+SUV'!P19+'Van+Ute'!P19</f>
        <v>3932.5819194884771</v>
      </c>
      <c r="Q19" s="57">
        <f ca="1">'Car+SUV'!Q19+'Van+Ute'!Q19</f>
        <v>4119.2874731890806</v>
      </c>
    </row>
    <row r="20" spans="3:17" ht="16" thickBot="1" x14ac:dyDescent="0.4">
      <c r="C20" s="25" t="s">
        <v>13</v>
      </c>
      <c r="D20" s="58">
        <f>'Car+SUV'!D20+'Van+Ute'!D20</f>
        <v>981.04504886168922</v>
      </c>
      <c r="E20" s="59">
        <f>'Car+SUV'!E20+'Van+Ute'!E20</f>
        <v>1008.9021959660175</v>
      </c>
      <c r="F20" s="59">
        <f>'Car+SUV'!F20+'Van+Ute'!F20</f>
        <v>978.64398653703324</v>
      </c>
      <c r="G20" s="59">
        <f>'Car+SUV'!G20+'Van+Ute'!G20</f>
        <v>1100.5153143800753</v>
      </c>
      <c r="H20" s="59">
        <f>'Car+SUV'!H20+'Van+Ute'!H20</f>
        <v>1130.2836554633896</v>
      </c>
      <c r="I20" s="59">
        <f>'Car+SUV'!I20+'Van+Ute'!I20</f>
        <v>1167.6242022837482</v>
      </c>
      <c r="J20" s="59">
        <f ca="1">'Car+SUV'!J20+'Van+Ute'!J20</f>
        <v>1202.2589506629456</v>
      </c>
      <c r="K20" s="59">
        <f ca="1">'Car+SUV'!K20+'Van+Ute'!K20</f>
        <v>1235.0176902671972</v>
      </c>
      <c r="L20" s="59">
        <f ca="1">'Car+SUV'!L20+'Van+Ute'!L20</f>
        <v>1261.7240226252202</v>
      </c>
      <c r="M20" s="59">
        <f ca="1">'Car+SUV'!M20+'Van+Ute'!M20</f>
        <v>1278.1834624540088</v>
      </c>
      <c r="N20" s="59">
        <f ca="1">'Car+SUV'!N20+'Van+Ute'!N20</f>
        <v>1292.0549795206362</v>
      </c>
      <c r="O20" s="59">
        <f ca="1">'Car+SUV'!O20+'Van+Ute'!O20</f>
        <v>1304.2253316601364</v>
      </c>
      <c r="P20" s="59">
        <f ca="1">'Car+SUV'!P20+'Van+Ute'!P20</f>
        <v>1311.883157539799</v>
      </c>
      <c r="Q20" s="60">
        <f ca="1">'Car+SUV'!Q20+'Van+Ute'!Q20</f>
        <v>1314.8484082554091</v>
      </c>
    </row>
    <row r="21" spans="3:17" ht="16.5" thickTop="1" thickBot="1" x14ac:dyDescent="0.4">
      <c r="C21" s="31" t="s">
        <v>24</v>
      </c>
      <c r="D21" s="61">
        <f t="shared" ref="D21:N21" si="0">SUM(D7:D20)</f>
        <v>37174.308231112649</v>
      </c>
      <c r="E21" s="62">
        <f t="shared" si="0"/>
        <v>38000.027079520652</v>
      </c>
      <c r="F21" s="62">
        <f t="shared" si="0"/>
        <v>39216.15441803469</v>
      </c>
      <c r="G21" s="62">
        <f t="shared" si="0"/>
        <v>40924.618991984396</v>
      </c>
      <c r="H21" s="62">
        <f t="shared" si="0"/>
        <v>42568.759529825598</v>
      </c>
      <c r="I21" s="62">
        <f t="shared" si="0"/>
        <v>44283.843804987395</v>
      </c>
      <c r="J21" s="62">
        <f t="shared" ca="1" si="0"/>
        <v>47786.020157930267</v>
      </c>
      <c r="K21" s="62">
        <f t="shared" ca="1" si="0"/>
        <v>50921.552926551434</v>
      </c>
      <c r="L21" s="62">
        <f t="shared" ca="1" si="0"/>
        <v>53949.467297354364</v>
      </c>
      <c r="M21" s="62">
        <f t="shared" ca="1" si="0"/>
        <v>56655.050366883006</v>
      </c>
      <c r="N21" s="62">
        <f t="shared" ca="1" si="0"/>
        <v>59352.700949814454</v>
      </c>
      <c r="O21" s="62">
        <f t="shared" ref="O21:Q21" ca="1" si="1">SUM(O7:O20)</f>
        <v>62116.891963298847</v>
      </c>
      <c r="P21" s="62">
        <f t="shared" ca="1" si="1"/>
        <v>64800.854998193259</v>
      </c>
      <c r="Q21" s="63">
        <f t="shared" ca="1" si="1"/>
        <v>67370.728819126613</v>
      </c>
    </row>
    <row r="22" spans="3:17" ht="13" thickTop="1" x14ac:dyDescent="0.25"/>
    <row r="23" spans="3:17" ht="13" thickBot="1" x14ac:dyDescent="0.3"/>
    <row r="24" spans="3:17" ht="16" thickTop="1" x14ac:dyDescent="0.35">
      <c r="C24" s="32" t="s">
        <v>142</v>
      </c>
      <c r="D24" s="33"/>
      <c r="E24" s="33"/>
      <c r="F24" s="33"/>
      <c r="G24" s="33"/>
      <c r="H24" s="33"/>
      <c r="I24" s="33"/>
      <c r="J24" s="34"/>
      <c r="K24" s="34"/>
      <c r="L24" s="34"/>
      <c r="M24" s="34"/>
      <c r="N24" s="34"/>
      <c r="O24" s="34"/>
      <c r="P24" s="34"/>
      <c r="Q24" s="35"/>
    </row>
    <row r="25" spans="3:17" ht="13.5" thickBot="1" x14ac:dyDescent="0.35">
      <c r="C25" s="36"/>
      <c r="D25" s="37" t="s">
        <v>25</v>
      </c>
      <c r="E25" s="37" t="s">
        <v>37</v>
      </c>
      <c r="F25" s="37" t="s">
        <v>38</v>
      </c>
      <c r="G25" s="37" t="s">
        <v>177</v>
      </c>
      <c r="H25" s="37" t="s">
        <v>178</v>
      </c>
      <c r="I25" s="37" t="s">
        <v>26</v>
      </c>
      <c r="J25" s="37" t="s">
        <v>27</v>
      </c>
      <c r="K25" s="37" t="s">
        <v>28</v>
      </c>
      <c r="L25" s="37" t="s">
        <v>29</v>
      </c>
      <c r="M25" s="37" t="s">
        <v>30</v>
      </c>
      <c r="N25" s="37" t="s">
        <v>31</v>
      </c>
      <c r="O25" s="37" t="s">
        <v>174</v>
      </c>
      <c r="P25" s="37" t="s">
        <v>175</v>
      </c>
      <c r="Q25" s="38" t="s">
        <v>176</v>
      </c>
    </row>
    <row r="26" spans="3:17" ht="14" thickTop="1" thickBot="1" x14ac:dyDescent="0.35">
      <c r="C26" s="18"/>
      <c r="D26" s="65" t="s">
        <v>39</v>
      </c>
      <c r="E26" s="65" t="s">
        <v>39</v>
      </c>
      <c r="F26" s="65" t="s">
        <v>39</v>
      </c>
      <c r="G26" s="65" t="s">
        <v>39</v>
      </c>
      <c r="H26" s="65" t="s">
        <v>39</v>
      </c>
      <c r="I26" s="65" t="s">
        <v>39</v>
      </c>
      <c r="J26" s="65" t="s">
        <v>32</v>
      </c>
      <c r="K26" s="65" t="s">
        <v>32</v>
      </c>
      <c r="L26" s="65" t="s">
        <v>32</v>
      </c>
      <c r="M26" s="65" t="s">
        <v>32</v>
      </c>
      <c r="N26" s="65" t="s">
        <v>32</v>
      </c>
      <c r="O26" s="65" t="s">
        <v>32</v>
      </c>
      <c r="P26" s="65" t="s">
        <v>32</v>
      </c>
      <c r="Q26" s="66" t="s">
        <v>32</v>
      </c>
    </row>
    <row r="27" spans="3:17" ht="16" thickTop="1" x14ac:dyDescent="0.35">
      <c r="C27" s="24" t="s">
        <v>0</v>
      </c>
      <c r="D27" s="86">
        <f>'All Light Vehicles'!D7-'Light Vehicle Supporting Data'!D7</f>
        <v>0</v>
      </c>
      <c r="E27" s="87">
        <f>'All Light Vehicles'!E7-'Light Vehicle Supporting Data'!E7</f>
        <v>0</v>
      </c>
      <c r="F27" s="87">
        <f>'All Light Vehicles'!F7-'Light Vehicle Supporting Data'!F7</f>
        <v>0</v>
      </c>
      <c r="G27" s="87">
        <f>'All Light Vehicles'!G7-'Light Vehicle Supporting Data'!G7</f>
        <v>0</v>
      </c>
      <c r="H27" s="87">
        <f>'All Light Vehicles'!H7-'Light Vehicle Supporting Data'!H7</f>
        <v>0</v>
      </c>
      <c r="I27" s="87">
        <f>'All Light Vehicles'!I7-'Light Vehicle Supporting Data'!I7</f>
        <v>0</v>
      </c>
      <c r="J27" s="87">
        <f ca="1">'All Light Vehicles'!J7-'Light Vehicle Supporting Data'!J7</f>
        <v>0</v>
      </c>
      <c r="K27" s="87">
        <f ca="1">'All Light Vehicles'!K7-'Light Vehicle Supporting Data'!K7</f>
        <v>0</v>
      </c>
      <c r="L27" s="87">
        <f ca="1">'All Light Vehicles'!L7-'Light Vehicle Supporting Data'!L7</f>
        <v>0</v>
      </c>
      <c r="M27" s="87">
        <f ca="1">'All Light Vehicles'!M7-'Light Vehicle Supporting Data'!M7</f>
        <v>0</v>
      </c>
      <c r="N27" s="87">
        <f ca="1">'All Light Vehicles'!N7-'Light Vehicle Supporting Data'!N7</f>
        <v>0</v>
      </c>
      <c r="O27" s="53">
        <f ca="1">'All Light Vehicles'!O7-'Light Vehicle Supporting Data'!O7</f>
        <v>0</v>
      </c>
      <c r="P27" s="53">
        <f ca="1">'All Light Vehicles'!P7-'Light Vehicle Supporting Data'!P7</f>
        <v>0</v>
      </c>
      <c r="Q27" s="54">
        <f ca="1">'All Light Vehicles'!Q7-'Light Vehicle Supporting Data'!Q7</f>
        <v>0</v>
      </c>
    </row>
    <row r="28" spans="3:17" ht="15.5" x14ac:dyDescent="0.35">
      <c r="C28" s="24" t="s">
        <v>1</v>
      </c>
      <c r="D28" s="89">
        <f>'All Light Vehicles'!D8-'Light Vehicle Supporting Data'!D8</f>
        <v>0</v>
      </c>
      <c r="E28" s="90">
        <f>'All Light Vehicles'!E8-'Light Vehicle Supporting Data'!E8</f>
        <v>0</v>
      </c>
      <c r="F28" s="90">
        <f>'All Light Vehicles'!F8-'Light Vehicle Supporting Data'!F8</f>
        <v>0</v>
      </c>
      <c r="G28" s="90">
        <f>'All Light Vehicles'!G8-'Light Vehicle Supporting Data'!G8</f>
        <v>0</v>
      </c>
      <c r="H28" s="90">
        <f>'All Light Vehicles'!H8-'Light Vehicle Supporting Data'!H8</f>
        <v>0</v>
      </c>
      <c r="I28" s="90">
        <f>'All Light Vehicles'!I8-'Light Vehicle Supporting Data'!I8</f>
        <v>0</v>
      </c>
      <c r="J28" s="90">
        <f ca="1">'All Light Vehicles'!J8-'Light Vehicle Supporting Data'!J8</f>
        <v>0</v>
      </c>
      <c r="K28" s="90">
        <f ca="1">'All Light Vehicles'!K8-'Light Vehicle Supporting Data'!K8</f>
        <v>0</v>
      </c>
      <c r="L28" s="90">
        <f ca="1">'All Light Vehicles'!L8-'Light Vehicle Supporting Data'!L8</f>
        <v>0</v>
      </c>
      <c r="M28" s="90">
        <f ca="1">'All Light Vehicles'!M8-'Light Vehicle Supporting Data'!M8</f>
        <v>0</v>
      </c>
      <c r="N28" s="90">
        <f ca="1">'All Light Vehicles'!N8-'Light Vehicle Supporting Data'!N8</f>
        <v>0</v>
      </c>
      <c r="O28" s="56">
        <f ca="1">'All Light Vehicles'!O8-'Light Vehicle Supporting Data'!O8</f>
        <v>0</v>
      </c>
      <c r="P28" s="56">
        <f ca="1">'All Light Vehicles'!P8-'Light Vehicle Supporting Data'!P8</f>
        <v>0</v>
      </c>
      <c r="Q28" s="57">
        <f ca="1">'All Light Vehicles'!Q8-'Light Vehicle Supporting Data'!Q8</f>
        <v>0</v>
      </c>
    </row>
    <row r="29" spans="3:17" ht="15.5" x14ac:dyDescent="0.35">
      <c r="C29" s="24" t="s">
        <v>2</v>
      </c>
      <c r="D29" s="89">
        <f>'All Light Vehicles'!D9-'Light Vehicle Supporting Data'!D9</f>
        <v>0</v>
      </c>
      <c r="E29" s="90">
        <f>'All Light Vehicles'!E9-'Light Vehicle Supporting Data'!E9</f>
        <v>0</v>
      </c>
      <c r="F29" s="90">
        <f>'All Light Vehicles'!F9-'Light Vehicle Supporting Data'!F9</f>
        <v>0</v>
      </c>
      <c r="G29" s="90">
        <f>'All Light Vehicles'!G9-'Light Vehicle Supporting Data'!G9</f>
        <v>0</v>
      </c>
      <c r="H29" s="90">
        <f>'All Light Vehicles'!H9-'Light Vehicle Supporting Data'!H9</f>
        <v>0</v>
      </c>
      <c r="I29" s="90">
        <f>'All Light Vehicles'!I9-'Light Vehicle Supporting Data'!I9</f>
        <v>0</v>
      </c>
      <c r="J29" s="90">
        <f ca="1">'All Light Vehicles'!J9-'Light Vehicle Supporting Data'!J9</f>
        <v>0</v>
      </c>
      <c r="K29" s="90">
        <f ca="1">'All Light Vehicles'!K9-'Light Vehicle Supporting Data'!K9</f>
        <v>0</v>
      </c>
      <c r="L29" s="90">
        <f ca="1">'All Light Vehicles'!L9-'Light Vehicle Supporting Data'!L9</f>
        <v>0</v>
      </c>
      <c r="M29" s="90">
        <f ca="1">'All Light Vehicles'!M9-'Light Vehicle Supporting Data'!M9</f>
        <v>0</v>
      </c>
      <c r="N29" s="90">
        <f ca="1">'All Light Vehicles'!N9-'Light Vehicle Supporting Data'!N9</f>
        <v>0</v>
      </c>
      <c r="O29" s="56">
        <f ca="1">'All Light Vehicles'!O9-'Light Vehicle Supporting Data'!O9</f>
        <v>0</v>
      </c>
      <c r="P29" s="56">
        <f ca="1">'All Light Vehicles'!P9-'Light Vehicle Supporting Data'!P9</f>
        <v>0</v>
      </c>
      <c r="Q29" s="57">
        <f ca="1">'All Light Vehicles'!Q9-'Light Vehicle Supporting Data'!Q9</f>
        <v>0</v>
      </c>
    </row>
    <row r="30" spans="3:17" ht="15.5" x14ac:dyDescent="0.35">
      <c r="C30" s="24" t="s">
        <v>3</v>
      </c>
      <c r="D30" s="89">
        <f>'All Light Vehicles'!D10-'Light Vehicle Supporting Data'!D10</f>
        <v>0</v>
      </c>
      <c r="E30" s="90">
        <f>'All Light Vehicles'!E10-'Light Vehicle Supporting Data'!E10</f>
        <v>0</v>
      </c>
      <c r="F30" s="90">
        <f>'All Light Vehicles'!F10-'Light Vehicle Supporting Data'!F10</f>
        <v>0</v>
      </c>
      <c r="G30" s="90">
        <f>'All Light Vehicles'!G10-'Light Vehicle Supporting Data'!G10</f>
        <v>0</v>
      </c>
      <c r="H30" s="90">
        <f>'All Light Vehicles'!H10-'Light Vehicle Supporting Data'!H10</f>
        <v>0</v>
      </c>
      <c r="I30" s="90">
        <f>'All Light Vehicles'!I10-'Light Vehicle Supporting Data'!I10</f>
        <v>0</v>
      </c>
      <c r="J30" s="90">
        <f ca="1">'All Light Vehicles'!J10-'Light Vehicle Supporting Data'!J10</f>
        <v>0</v>
      </c>
      <c r="K30" s="90">
        <f ca="1">'All Light Vehicles'!K10-'Light Vehicle Supporting Data'!K10</f>
        <v>0</v>
      </c>
      <c r="L30" s="90">
        <f ca="1">'All Light Vehicles'!L10-'Light Vehicle Supporting Data'!L10</f>
        <v>0</v>
      </c>
      <c r="M30" s="90">
        <f ca="1">'All Light Vehicles'!M10-'Light Vehicle Supporting Data'!M10</f>
        <v>0</v>
      </c>
      <c r="N30" s="90">
        <f ca="1">'All Light Vehicles'!N10-'Light Vehicle Supporting Data'!N10</f>
        <v>0</v>
      </c>
      <c r="O30" s="56">
        <f ca="1">'All Light Vehicles'!O10-'Light Vehicle Supporting Data'!O10</f>
        <v>0</v>
      </c>
      <c r="P30" s="56">
        <f ca="1">'All Light Vehicles'!P10-'Light Vehicle Supporting Data'!P10</f>
        <v>0</v>
      </c>
      <c r="Q30" s="57">
        <f ca="1">'All Light Vehicles'!Q10-'Light Vehicle Supporting Data'!Q10</f>
        <v>0</v>
      </c>
    </row>
    <row r="31" spans="3:17" ht="15.5" x14ac:dyDescent="0.35">
      <c r="C31" s="24" t="s">
        <v>4</v>
      </c>
      <c r="D31" s="89">
        <f>'All Light Vehicles'!D11-'Light Vehicle Supporting Data'!D11</f>
        <v>0</v>
      </c>
      <c r="E31" s="90">
        <f>'All Light Vehicles'!E11-'Light Vehicle Supporting Data'!E11</f>
        <v>0</v>
      </c>
      <c r="F31" s="90">
        <f>'All Light Vehicles'!F11-'Light Vehicle Supporting Data'!F11</f>
        <v>0</v>
      </c>
      <c r="G31" s="90">
        <f>'All Light Vehicles'!G11-'Light Vehicle Supporting Data'!G11</f>
        <v>0</v>
      </c>
      <c r="H31" s="90">
        <f>'All Light Vehicles'!H11-'Light Vehicle Supporting Data'!H11</f>
        <v>0</v>
      </c>
      <c r="I31" s="90">
        <f>'All Light Vehicles'!I11-'Light Vehicle Supporting Data'!I11</f>
        <v>0</v>
      </c>
      <c r="J31" s="90">
        <f ca="1">'All Light Vehicles'!J11-'Light Vehicle Supporting Data'!J11</f>
        <v>0</v>
      </c>
      <c r="K31" s="90">
        <f ca="1">'All Light Vehicles'!K11-'Light Vehicle Supporting Data'!K11</f>
        <v>0</v>
      </c>
      <c r="L31" s="90">
        <f ca="1">'All Light Vehicles'!L11-'Light Vehicle Supporting Data'!L11</f>
        <v>0</v>
      </c>
      <c r="M31" s="90">
        <f ca="1">'All Light Vehicles'!M11-'Light Vehicle Supporting Data'!M11</f>
        <v>0</v>
      </c>
      <c r="N31" s="90">
        <f ca="1">'All Light Vehicles'!N11-'Light Vehicle Supporting Data'!N11</f>
        <v>0</v>
      </c>
      <c r="O31" s="56">
        <f ca="1">'All Light Vehicles'!O11-'Light Vehicle Supporting Data'!O11</f>
        <v>0</v>
      </c>
      <c r="P31" s="56">
        <f ca="1">'All Light Vehicles'!P11-'Light Vehicle Supporting Data'!P11</f>
        <v>0</v>
      </c>
      <c r="Q31" s="57">
        <f ca="1">'All Light Vehicles'!Q11-'Light Vehicle Supporting Data'!Q11</f>
        <v>0</v>
      </c>
    </row>
    <row r="32" spans="3:17" ht="15.5" x14ac:dyDescent="0.35">
      <c r="C32" s="24" t="s">
        <v>5</v>
      </c>
      <c r="D32" s="89">
        <f>'All Light Vehicles'!D12-'Light Vehicle Supporting Data'!D12</f>
        <v>0</v>
      </c>
      <c r="E32" s="90">
        <f>'All Light Vehicles'!E12-'Light Vehicle Supporting Data'!E12</f>
        <v>0</v>
      </c>
      <c r="F32" s="90">
        <f>'All Light Vehicles'!F12-'Light Vehicle Supporting Data'!F12</f>
        <v>0</v>
      </c>
      <c r="G32" s="90">
        <f>'All Light Vehicles'!G12-'Light Vehicle Supporting Data'!G12</f>
        <v>0</v>
      </c>
      <c r="H32" s="90">
        <f>'All Light Vehicles'!H12-'Light Vehicle Supporting Data'!H12</f>
        <v>0</v>
      </c>
      <c r="I32" s="90">
        <f>'All Light Vehicles'!I12-'Light Vehicle Supporting Data'!I12</f>
        <v>0</v>
      </c>
      <c r="J32" s="90">
        <f ca="1">'All Light Vehicles'!J12-'Light Vehicle Supporting Data'!J12</f>
        <v>0</v>
      </c>
      <c r="K32" s="90">
        <f ca="1">'All Light Vehicles'!K12-'Light Vehicle Supporting Data'!K12</f>
        <v>0</v>
      </c>
      <c r="L32" s="90">
        <f ca="1">'All Light Vehicles'!L12-'Light Vehicle Supporting Data'!L12</f>
        <v>0</v>
      </c>
      <c r="M32" s="90">
        <f ca="1">'All Light Vehicles'!M12-'Light Vehicle Supporting Data'!M12</f>
        <v>0</v>
      </c>
      <c r="N32" s="90">
        <f ca="1">'All Light Vehicles'!N12-'Light Vehicle Supporting Data'!N12</f>
        <v>0</v>
      </c>
      <c r="O32" s="56">
        <f ca="1">'All Light Vehicles'!O12-'Light Vehicle Supporting Data'!O12</f>
        <v>0</v>
      </c>
      <c r="P32" s="56">
        <f ca="1">'All Light Vehicles'!P12-'Light Vehicle Supporting Data'!P12</f>
        <v>0</v>
      </c>
      <c r="Q32" s="57">
        <f ca="1">'All Light Vehicles'!Q12-'Light Vehicle Supporting Data'!Q12</f>
        <v>0</v>
      </c>
    </row>
    <row r="33" spans="3:17" ht="15.5" x14ac:dyDescent="0.35">
      <c r="C33" s="24" t="s">
        <v>6</v>
      </c>
      <c r="D33" s="89">
        <f>'All Light Vehicles'!D13-'Light Vehicle Supporting Data'!D13</f>
        <v>0</v>
      </c>
      <c r="E33" s="90">
        <f>'All Light Vehicles'!E13-'Light Vehicle Supporting Data'!E13</f>
        <v>0</v>
      </c>
      <c r="F33" s="90">
        <f>'All Light Vehicles'!F13-'Light Vehicle Supporting Data'!F13</f>
        <v>0</v>
      </c>
      <c r="G33" s="90">
        <f>'All Light Vehicles'!G13-'Light Vehicle Supporting Data'!G13</f>
        <v>0</v>
      </c>
      <c r="H33" s="90">
        <f>'All Light Vehicles'!H13-'Light Vehicle Supporting Data'!H13</f>
        <v>0</v>
      </c>
      <c r="I33" s="90">
        <f>'All Light Vehicles'!I13-'Light Vehicle Supporting Data'!I13</f>
        <v>0</v>
      </c>
      <c r="J33" s="90">
        <f ca="1">'All Light Vehicles'!J13-'Light Vehicle Supporting Data'!J13</f>
        <v>0</v>
      </c>
      <c r="K33" s="90">
        <f ca="1">'All Light Vehicles'!K13-'Light Vehicle Supporting Data'!K13</f>
        <v>0</v>
      </c>
      <c r="L33" s="90">
        <f ca="1">'All Light Vehicles'!L13-'Light Vehicle Supporting Data'!L13</f>
        <v>0</v>
      </c>
      <c r="M33" s="90">
        <f ca="1">'All Light Vehicles'!M13-'Light Vehicle Supporting Data'!M13</f>
        <v>0</v>
      </c>
      <c r="N33" s="90">
        <f ca="1">'All Light Vehicles'!N13-'Light Vehicle Supporting Data'!N13</f>
        <v>0</v>
      </c>
      <c r="O33" s="56">
        <f ca="1">'All Light Vehicles'!O13-'Light Vehicle Supporting Data'!O13</f>
        <v>0</v>
      </c>
      <c r="P33" s="56">
        <f ca="1">'All Light Vehicles'!P13-'Light Vehicle Supporting Data'!P13</f>
        <v>0</v>
      </c>
      <c r="Q33" s="57">
        <f ca="1">'All Light Vehicles'!Q13-'Light Vehicle Supporting Data'!Q13</f>
        <v>0</v>
      </c>
    </row>
    <row r="34" spans="3:17" ht="15.5" x14ac:dyDescent="0.35">
      <c r="C34" s="24" t="s">
        <v>7</v>
      </c>
      <c r="D34" s="89">
        <f>'All Light Vehicles'!D14-'Light Vehicle Supporting Data'!D14</f>
        <v>0</v>
      </c>
      <c r="E34" s="90">
        <f>'All Light Vehicles'!E14-'Light Vehicle Supporting Data'!E14</f>
        <v>0</v>
      </c>
      <c r="F34" s="90">
        <f>'All Light Vehicles'!F14-'Light Vehicle Supporting Data'!F14</f>
        <v>0</v>
      </c>
      <c r="G34" s="90">
        <f>'All Light Vehicles'!G14-'Light Vehicle Supporting Data'!G14</f>
        <v>0</v>
      </c>
      <c r="H34" s="90">
        <f>'All Light Vehicles'!H14-'Light Vehicle Supporting Data'!H14</f>
        <v>0</v>
      </c>
      <c r="I34" s="90">
        <f>'All Light Vehicles'!I14-'Light Vehicle Supporting Data'!I14</f>
        <v>0</v>
      </c>
      <c r="J34" s="90">
        <f ca="1">'All Light Vehicles'!J14-'Light Vehicle Supporting Data'!J14</f>
        <v>0</v>
      </c>
      <c r="K34" s="90">
        <f ca="1">'All Light Vehicles'!K14-'Light Vehicle Supporting Data'!K14</f>
        <v>0</v>
      </c>
      <c r="L34" s="90">
        <f ca="1">'All Light Vehicles'!L14-'Light Vehicle Supporting Data'!L14</f>
        <v>0</v>
      </c>
      <c r="M34" s="90">
        <f ca="1">'All Light Vehicles'!M14-'Light Vehicle Supporting Data'!M14</f>
        <v>0</v>
      </c>
      <c r="N34" s="90">
        <f ca="1">'All Light Vehicles'!N14-'Light Vehicle Supporting Data'!N14</f>
        <v>0</v>
      </c>
      <c r="O34" s="56">
        <f ca="1">'All Light Vehicles'!O14-'Light Vehicle Supporting Data'!O14</f>
        <v>0</v>
      </c>
      <c r="P34" s="56">
        <f ca="1">'All Light Vehicles'!P14-'Light Vehicle Supporting Data'!P14</f>
        <v>0</v>
      </c>
      <c r="Q34" s="57">
        <f ca="1">'All Light Vehicles'!Q14-'Light Vehicle Supporting Data'!Q14</f>
        <v>0</v>
      </c>
    </row>
    <row r="35" spans="3:17" ht="15.5" x14ac:dyDescent="0.35">
      <c r="C35" s="24" t="s">
        <v>8</v>
      </c>
      <c r="D35" s="89">
        <f>'All Light Vehicles'!D15-'Light Vehicle Supporting Data'!D15</f>
        <v>0</v>
      </c>
      <c r="E35" s="90">
        <f>'All Light Vehicles'!E15-'Light Vehicle Supporting Data'!E15</f>
        <v>0</v>
      </c>
      <c r="F35" s="90">
        <f>'All Light Vehicles'!F15-'Light Vehicle Supporting Data'!F15</f>
        <v>0</v>
      </c>
      <c r="G35" s="90">
        <f>'All Light Vehicles'!G15-'Light Vehicle Supporting Data'!G15</f>
        <v>0</v>
      </c>
      <c r="H35" s="90">
        <f>'All Light Vehicles'!H15-'Light Vehicle Supporting Data'!H15</f>
        <v>0</v>
      </c>
      <c r="I35" s="90">
        <f>'All Light Vehicles'!I15-'Light Vehicle Supporting Data'!I15</f>
        <v>0</v>
      </c>
      <c r="J35" s="90">
        <f ca="1">'All Light Vehicles'!J15-'Light Vehicle Supporting Data'!J15</f>
        <v>0</v>
      </c>
      <c r="K35" s="90">
        <f ca="1">'All Light Vehicles'!K15-'Light Vehicle Supporting Data'!K15</f>
        <v>0</v>
      </c>
      <c r="L35" s="90">
        <f ca="1">'All Light Vehicles'!L15-'Light Vehicle Supporting Data'!L15</f>
        <v>0</v>
      </c>
      <c r="M35" s="90">
        <f ca="1">'All Light Vehicles'!M15-'Light Vehicle Supporting Data'!M15</f>
        <v>0</v>
      </c>
      <c r="N35" s="90">
        <f ca="1">'All Light Vehicles'!N15-'Light Vehicle Supporting Data'!N15</f>
        <v>0</v>
      </c>
      <c r="O35" s="56">
        <f ca="1">'All Light Vehicles'!O15-'Light Vehicle Supporting Data'!O15</f>
        <v>0</v>
      </c>
      <c r="P35" s="56">
        <f ca="1">'All Light Vehicles'!P15-'Light Vehicle Supporting Data'!P15</f>
        <v>0</v>
      </c>
      <c r="Q35" s="57">
        <f ca="1">'All Light Vehicles'!Q15-'Light Vehicle Supporting Data'!Q15</f>
        <v>0</v>
      </c>
    </row>
    <row r="36" spans="3:17" ht="15.5" x14ac:dyDescent="0.35">
      <c r="C36" s="24" t="s">
        <v>9</v>
      </c>
      <c r="D36" s="89">
        <f>'All Light Vehicles'!D16-'Light Vehicle Supporting Data'!D16</f>
        <v>0</v>
      </c>
      <c r="E36" s="90">
        <f>'All Light Vehicles'!E16-'Light Vehicle Supporting Data'!E16</f>
        <v>0</v>
      </c>
      <c r="F36" s="90">
        <f>'All Light Vehicles'!F16-'Light Vehicle Supporting Data'!F16</f>
        <v>0</v>
      </c>
      <c r="G36" s="90">
        <f>'All Light Vehicles'!G16-'Light Vehicle Supporting Data'!G16</f>
        <v>0</v>
      </c>
      <c r="H36" s="90">
        <f>'All Light Vehicles'!H16-'Light Vehicle Supporting Data'!H16</f>
        <v>0</v>
      </c>
      <c r="I36" s="90">
        <f>'All Light Vehicles'!I16-'Light Vehicle Supporting Data'!I16</f>
        <v>0</v>
      </c>
      <c r="J36" s="90">
        <f ca="1">'All Light Vehicles'!J16-'Light Vehicle Supporting Data'!J16</f>
        <v>0</v>
      </c>
      <c r="K36" s="90">
        <f ca="1">'All Light Vehicles'!K16-'Light Vehicle Supporting Data'!K16</f>
        <v>0</v>
      </c>
      <c r="L36" s="90">
        <f ca="1">'All Light Vehicles'!L16-'Light Vehicle Supporting Data'!L16</f>
        <v>0</v>
      </c>
      <c r="M36" s="90">
        <f ca="1">'All Light Vehicles'!M16-'Light Vehicle Supporting Data'!M16</f>
        <v>0</v>
      </c>
      <c r="N36" s="90">
        <f ca="1">'All Light Vehicles'!N16-'Light Vehicle Supporting Data'!N16</f>
        <v>0</v>
      </c>
      <c r="O36" s="56">
        <f ca="1">'All Light Vehicles'!O16-'Light Vehicle Supporting Data'!O16</f>
        <v>0</v>
      </c>
      <c r="P36" s="56">
        <f ca="1">'All Light Vehicles'!P16-'Light Vehicle Supporting Data'!P16</f>
        <v>0</v>
      </c>
      <c r="Q36" s="57">
        <f ca="1">'All Light Vehicles'!Q16-'Light Vehicle Supporting Data'!Q16</f>
        <v>0</v>
      </c>
    </row>
    <row r="37" spans="3:17" ht="15.5" x14ac:dyDescent="0.35">
      <c r="C37" s="24" t="s">
        <v>10</v>
      </c>
      <c r="D37" s="89">
        <f>'All Light Vehicles'!D17-'Light Vehicle Supporting Data'!D17</f>
        <v>0</v>
      </c>
      <c r="E37" s="90">
        <f>'All Light Vehicles'!E17-'Light Vehicle Supporting Data'!E17</f>
        <v>0</v>
      </c>
      <c r="F37" s="90">
        <f>'All Light Vehicles'!F17-'Light Vehicle Supporting Data'!F17</f>
        <v>0</v>
      </c>
      <c r="G37" s="90">
        <f>'All Light Vehicles'!G17-'Light Vehicle Supporting Data'!G17</f>
        <v>0</v>
      </c>
      <c r="H37" s="90">
        <f>'All Light Vehicles'!H17-'Light Vehicle Supporting Data'!H17</f>
        <v>0</v>
      </c>
      <c r="I37" s="90">
        <f>'All Light Vehicles'!I17-'Light Vehicle Supporting Data'!I17</f>
        <v>0</v>
      </c>
      <c r="J37" s="90">
        <f ca="1">'All Light Vehicles'!J17-'Light Vehicle Supporting Data'!J17</f>
        <v>0</v>
      </c>
      <c r="K37" s="90">
        <f ca="1">'All Light Vehicles'!K17-'Light Vehicle Supporting Data'!K17</f>
        <v>0</v>
      </c>
      <c r="L37" s="90">
        <f ca="1">'All Light Vehicles'!L17-'Light Vehicle Supporting Data'!L17</f>
        <v>0</v>
      </c>
      <c r="M37" s="90">
        <f ca="1">'All Light Vehicles'!M17-'Light Vehicle Supporting Data'!M17</f>
        <v>0</v>
      </c>
      <c r="N37" s="90">
        <f ca="1">'All Light Vehicles'!N17-'Light Vehicle Supporting Data'!N17</f>
        <v>0</v>
      </c>
      <c r="O37" s="56">
        <f ca="1">'All Light Vehicles'!O17-'Light Vehicle Supporting Data'!O17</f>
        <v>0</v>
      </c>
      <c r="P37" s="56">
        <f ca="1">'All Light Vehicles'!P17-'Light Vehicle Supporting Data'!P17</f>
        <v>0</v>
      </c>
      <c r="Q37" s="57">
        <f ca="1">'All Light Vehicles'!Q17-'Light Vehicle Supporting Data'!Q17</f>
        <v>0</v>
      </c>
    </row>
    <row r="38" spans="3:17" ht="15.5" x14ac:dyDescent="0.35">
      <c r="C38" s="24" t="s">
        <v>11</v>
      </c>
      <c r="D38" s="89">
        <f>'All Light Vehicles'!D18-'Light Vehicle Supporting Data'!D18</f>
        <v>0</v>
      </c>
      <c r="E38" s="90">
        <f>'All Light Vehicles'!E18-'Light Vehicle Supporting Data'!E18</f>
        <v>0</v>
      </c>
      <c r="F38" s="90">
        <f>'All Light Vehicles'!F18-'Light Vehicle Supporting Data'!F18</f>
        <v>0</v>
      </c>
      <c r="G38" s="90">
        <f>'All Light Vehicles'!G18-'Light Vehicle Supporting Data'!G18</f>
        <v>0</v>
      </c>
      <c r="H38" s="90">
        <f>'All Light Vehicles'!H18-'Light Vehicle Supporting Data'!H18</f>
        <v>0</v>
      </c>
      <c r="I38" s="90">
        <f>'All Light Vehicles'!I18-'Light Vehicle Supporting Data'!I18</f>
        <v>0</v>
      </c>
      <c r="J38" s="90">
        <f ca="1">'All Light Vehicles'!J18-'Light Vehicle Supporting Data'!J18</f>
        <v>0</v>
      </c>
      <c r="K38" s="90">
        <f ca="1">'All Light Vehicles'!K18-'Light Vehicle Supporting Data'!K18</f>
        <v>0</v>
      </c>
      <c r="L38" s="90">
        <f ca="1">'All Light Vehicles'!L18-'Light Vehicle Supporting Data'!L18</f>
        <v>0</v>
      </c>
      <c r="M38" s="90">
        <f ca="1">'All Light Vehicles'!M18-'Light Vehicle Supporting Data'!M18</f>
        <v>0</v>
      </c>
      <c r="N38" s="90">
        <f ca="1">'All Light Vehicles'!N18-'Light Vehicle Supporting Data'!N18</f>
        <v>0</v>
      </c>
      <c r="O38" s="56">
        <f ca="1">'All Light Vehicles'!O18-'Light Vehicle Supporting Data'!O18</f>
        <v>0</v>
      </c>
      <c r="P38" s="56">
        <f ca="1">'All Light Vehicles'!P18-'Light Vehicle Supporting Data'!P18</f>
        <v>0</v>
      </c>
      <c r="Q38" s="57">
        <f ca="1">'All Light Vehicles'!Q18-'Light Vehicle Supporting Data'!Q18</f>
        <v>0</v>
      </c>
    </row>
    <row r="39" spans="3:17" ht="15.5" x14ac:dyDescent="0.35">
      <c r="C39" s="24" t="s">
        <v>12</v>
      </c>
      <c r="D39" s="89">
        <f>'All Light Vehicles'!D19-'Light Vehicle Supporting Data'!D19</f>
        <v>0</v>
      </c>
      <c r="E39" s="90">
        <f>'All Light Vehicles'!E19-'Light Vehicle Supporting Data'!E19</f>
        <v>0</v>
      </c>
      <c r="F39" s="90">
        <f>'All Light Vehicles'!F19-'Light Vehicle Supporting Data'!F19</f>
        <v>0</v>
      </c>
      <c r="G39" s="90">
        <f>'All Light Vehicles'!G19-'Light Vehicle Supporting Data'!G19</f>
        <v>0</v>
      </c>
      <c r="H39" s="90">
        <f>'All Light Vehicles'!H19-'Light Vehicle Supporting Data'!H19</f>
        <v>0</v>
      </c>
      <c r="I39" s="90">
        <f>'All Light Vehicles'!I19-'Light Vehicle Supporting Data'!I19</f>
        <v>0</v>
      </c>
      <c r="J39" s="90">
        <f ca="1">'All Light Vehicles'!J19-'Light Vehicle Supporting Data'!J19</f>
        <v>0</v>
      </c>
      <c r="K39" s="90">
        <f ca="1">'All Light Vehicles'!K19-'Light Vehicle Supporting Data'!K19</f>
        <v>0</v>
      </c>
      <c r="L39" s="90">
        <f ca="1">'All Light Vehicles'!L19-'Light Vehicle Supporting Data'!L19</f>
        <v>0</v>
      </c>
      <c r="M39" s="90">
        <f ca="1">'All Light Vehicles'!M19-'Light Vehicle Supporting Data'!M19</f>
        <v>0</v>
      </c>
      <c r="N39" s="90">
        <f ca="1">'All Light Vehicles'!N19-'Light Vehicle Supporting Data'!N19</f>
        <v>0</v>
      </c>
      <c r="O39" s="56">
        <f ca="1">'All Light Vehicles'!O19-'Light Vehicle Supporting Data'!O19</f>
        <v>0</v>
      </c>
      <c r="P39" s="56">
        <f ca="1">'All Light Vehicles'!P19-'Light Vehicle Supporting Data'!P19</f>
        <v>0</v>
      </c>
      <c r="Q39" s="57">
        <f ca="1">'All Light Vehicles'!Q19-'Light Vehicle Supporting Data'!Q19</f>
        <v>0</v>
      </c>
    </row>
    <row r="40" spans="3:17" ht="16" thickBot="1" x14ac:dyDescent="0.4">
      <c r="C40" s="25" t="s">
        <v>13</v>
      </c>
      <c r="D40" s="91">
        <f>'All Light Vehicles'!D20-'Light Vehicle Supporting Data'!D20</f>
        <v>0</v>
      </c>
      <c r="E40" s="92">
        <f>'All Light Vehicles'!E20-'Light Vehicle Supporting Data'!E20</f>
        <v>0</v>
      </c>
      <c r="F40" s="92">
        <f>'All Light Vehicles'!F20-'Light Vehicle Supporting Data'!F20</f>
        <v>0</v>
      </c>
      <c r="G40" s="92">
        <f>'All Light Vehicles'!G20-'Light Vehicle Supporting Data'!G20</f>
        <v>0</v>
      </c>
      <c r="H40" s="92">
        <f>'All Light Vehicles'!H20-'Light Vehicle Supporting Data'!H20</f>
        <v>0</v>
      </c>
      <c r="I40" s="92">
        <f>'All Light Vehicles'!I20-'Light Vehicle Supporting Data'!I20</f>
        <v>0</v>
      </c>
      <c r="J40" s="92">
        <f ca="1">'All Light Vehicles'!J20-'Light Vehicle Supporting Data'!J20</f>
        <v>0</v>
      </c>
      <c r="K40" s="92">
        <f ca="1">'All Light Vehicles'!K20-'Light Vehicle Supporting Data'!K20</f>
        <v>0</v>
      </c>
      <c r="L40" s="92">
        <f ca="1">'All Light Vehicles'!L20-'Light Vehicle Supporting Data'!L20</f>
        <v>0</v>
      </c>
      <c r="M40" s="92">
        <f ca="1">'All Light Vehicles'!M20-'Light Vehicle Supporting Data'!M20</f>
        <v>0</v>
      </c>
      <c r="N40" s="92">
        <f ca="1">'All Light Vehicles'!N20-'Light Vehicle Supporting Data'!N20</f>
        <v>0</v>
      </c>
      <c r="O40" s="59">
        <f ca="1">'All Light Vehicles'!O20-'Light Vehicle Supporting Data'!O20</f>
        <v>0</v>
      </c>
      <c r="P40" s="59">
        <f ca="1">'All Light Vehicles'!P20-'Light Vehicle Supporting Data'!P20</f>
        <v>0</v>
      </c>
      <c r="Q40" s="60">
        <f ca="1">'All Light Vehicles'!Q20-'Light Vehicle Supporting Data'!Q20</f>
        <v>0</v>
      </c>
    </row>
    <row r="41" spans="3:17" ht="16.5" thickTop="1" thickBot="1" x14ac:dyDescent="0.4">
      <c r="C41" s="31" t="s">
        <v>24</v>
      </c>
      <c r="D41" s="96">
        <f t="shared" ref="D41:N41" si="2">SUM(D27:D40)</f>
        <v>0</v>
      </c>
      <c r="E41" s="92">
        <f t="shared" si="2"/>
        <v>0</v>
      </c>
      <c r="F41" s="92">
        <f t="shared" si="2"/>
        <v>0</v>
      </c>
      <c r="G41" s="92">
        <f t="shared" si="2"/>
        <v>0</v>
      </c>
      <c r="H41" s="92">
        <f t="shared" si="2"/>
        <v>0</v>
      </c>
      <c r="I41" s="92">
        <f t="shared" si="2"/>
        <v>0</v>
      </c>
      <c r="J41" s="92">
        <f t="shared" ca="1" si="2"/>
        <v>0</v>
      </c>
      <c r="K41" s="92">
        <f t="shared" ca="1" si="2"/>
        <v>0</v>
      </c>
      <c r="L41" s="92">
        <f t="shared" ca="1" si="2"/>
        <v>0</v>
      </c>
      <c r="M41" s="92">
        <f t="shared" ca="1" si="2"/>
        <v>0</v>
      </c>
      <c r="N41" s="92">
        <f t="shared" ca="1" si="2"/>
        <v>0</v>
      </c>
      <c r="O41" s="62">
        <f t="shared" ref="O41:Q41" ca="1" si="3">SUM(O27:O40)</f>
        <v>0</v>
      </c>
      <c r="P41" s="62">
        <f t="shared" ca="1" si="3"/>
        <v>0</v>
      </c>
      <c r="Q41" s="63">
        <f t="shared" ca="1" si="3"/>
        <v>0</v>
      </c>
    </row>
    <row r="42" spans="3:17" ht="13" thickTop="1" x14ac:dyDescent="0.25">
      <c r="D42" s="43"/>
      <c r="E42" s="53"/>
      <c r="F42" s="53"/>
      <c r="G42" s="56"/>
      <c r="H42" s="56"/>
      <c r="I42" s="43"/>
      <c r="J42" s="43"/>
      <c r="K42" s="43"/>
      <c r="L42" s="43"/>
      <c r="M42" s="43"/>
      <c r="N42" s="43"/>
    </row>
    <row r="43" spans="3:17" ht="13" thickBot="1" x14ac:dyDescent="0.3">
      <c r="E43" s="59"/>
      <c r="F43" s="59"/>
      <c r="G43" s="56"/>
      <c r="H43" s="56"/>
    </row>
    <row r="44" spans="3:17" ht="16" thickTop="1" x14ac:dyDescent="0.35">
      <c r="C44" s="32" t="s">
        <v>41</v>
      </c>
      <c r="D44" s="33"/>
      <c r="E44" s="33"/>
      <c r="F44" s="33"/>
      <c r="G44" s="33"/>
      <c r="H44" s="33"/>
      <c r="I44" s="33"/>
      <c r="J44" s="34"/>
      <c r="K44" s="34"/>
      <c r="L44" s="34"/>
      <c r="M44" s="34"/>
      <c r="N44" s="34"/>
      <c r="O44" s="34"/>
      <c r="P44" s="34"/>
      <c r="Q44" s="35"/>
    </row>
    <row r="45" spans="3:17" ht="13.5" thickBot="1" x14ac:dyDescent="0.35">
      <c r="C45" s="36"/>
      <c r="D45" s="37" t="s">
        <v>25</v>
      </c>
      <c r="E45" s="37" t="s">
        <v>37</v>
      </c>
      <c r="F45" s="37" t="s">
        <v>38</v>
      </c>
      <c r="G45" s="37" t="s">
        <v>177</v>
      </c>
      <c r="H45" s="37" t="s">
        <v>178</v>
      </c>
      <c r="I45" s="37" t="s">
        <v>26</v>
      </c>
      <c r="J45" s="37" t="s">
        <v>27</v>
      </c>
      <c r="K45" s="37" t="s">
        <v>28</v>
      </c>
      <c r="L45" s="37" t="s">
        <v>29</v>
      </c>
      <c r="M45" s="37" t="s">
        <v>30</v>
      </c>
      <c r="N45" s="37" t="s">
        <v>31</v>
      </c>
      <c r="O45" s="37" t="s">
        <v>174</v>
      </c>
      <c r="P45" s="37" t="s">
        <v>175</v>
      </c>
      <c r="Q45" s="38" t="s">
        <v>176</v>
      </c>
    </row>
    <row r="46" spans="3:17" ht="14" thickTop="1" thickBot="1" x14ac:dyDescent="0.35">
      <c r="C46" s="18"/>
      <c r="D46" s="65" t="s">
        <v>39</v>
      </c>
      <c r="E46" s="65" t="s">
        <v>32</v>
      </c>
      <c r="F46" s="65" t="s">
        <v>32</v>
      </c>
      <c r="G46" s="65" t="s">
        <v>32</v>
      </c>
      <c r="H46" s="65" t="s">
        <v>32</v>
      </c>
      <c r="I46" s="65" t="s">
        <v>32</v>
      </c>
      <c r="J46" s="65" t="s">
        <v>32</v>
      </c>
      <c r="K46" s="65" t="s">
        <v>32</v>
      </c>
      <c r="L46" s="65" t="s">
        <v>32</v>
      </c>
      <c r="M46" s="65" t="s">
        <v>32</v>
      </c>
      <c r="N46" s="65" t="s">
        <v>32</v>
      </c>
      <c r="O46" s="65" t="s">
        <v>32</v>
      </c>
      <c r="P46" s="65" t="s">
        <v>32</v>
      </c>
      <c r="Q46" s="66" t="s">
        <v>32</v>
      </c>
    </row>
    <row r="47" spans="3:17" ht="16" thickTop="1" x14ac:dyDescent="0.35">
      <c r="C47" s="24" t="s">
        <v>0</v>
      </c>
      <c r="D47" s="52">
        <f ca="1">'[8]Total Distance Tables'!$B$7</f>
        <v>1011.4273062</v>
      </c>
      <c r="E47" s="53">
        <f t="shared" ref="E47:E60" ca="1" si="4">D47*4/5 + I47/5</f>
        <v>1032.0265707510584</v>
      </c>
      <c r="F47" s="53">
        <f ca="1">$D47*3/5+$I47*2/5</f>
        <v>1052.6258353021167</v>
      </c>
      <c r="G47" s="53">
        <f ca="1">$D47*2/5+$I47*3/5</f>
        <v>1073.2250998531752</v>
      </c>
      <c r="H47" s="53">
        <f ca="1">$D47*1/5+$I47*4/5</f>
        <v>1093.8243644042334</v>
      </c>
      <c r="I47" s="53">
        <f ca="1">'[8]Total Distance Tables'!C7</f>
        <v>1114.4236289552919</v>
      </c>
      <c r="J47" s="53">
        <f ca="1">'[8]Total Distance Tables'!D7</f>
        <v>1173.637629036305</v>
      </c>
      <c r="K47" s="53">
        <f ca="1">'[8]Total Distance Tables'!E7</f>
        <v>1103.446785957608</v>
      </c>
      <c r="L47" s="53">
        <f ca="1">'[8]Total Distance Tables'!F7</f>
        <v>1016.1768947186825</v>
      </c>
      <c r="M47" s="53">
        <f ca="1">'[8]Total Distance Tables'!G7</f>
        <v>909.80653680805858</v>
      </c>
      <c r="N47" s="53">
        <f ca="1">'[8]Total Distance Tables'!H7</f>
        <v>793.07504059983978</v>
      </c>
      <c r="O47" s="53">
        <f ca="1">'[8]Total Distance Tables'!I7</f>
        <v>670.44257573772632</v>
      </c>
      <c r="P47" s="53">
        <f ca="1">'[8]Total Distance Tables'!J7</f>
        <v>542.59025353497088</v>
      </c>
      <c r="Q47" s="54">
        <f ca="1">'[8]Total Distance Tables'!K7</f>
        <v>410.95942608326811</v>
      </c>
    </row>
    <row r="48" spans="3:17" ht="15.5" x14ac:dyDescent="0.35">
      <c r="C48" s="24" t="s">
        <v>1</v>
      </c>
      <c r="D48" s="55">
        <f ca="1">'[8]Total Distance Tables'!$B$18</f>
        <v>9374.4733825999992</v>
      </c>
      <c r="E48" s="56">
        <f t="shared" ca="1" si="4"/>
        <v>9608.7116765683677</v>
      </c>
      <c r="F48" s="56">
        <f t="shared" ref="F48:F60" ca="1" si="5">$D48*3/5+$I48*2/5</f>
        <v>9842.949970536738</v>
      </c>
      <c r="G48" s="56">
        <f t="shared" ref="G48:G62" ca="1" si="6">$D48*2/5+$I48*3/5</f>
        <v>10077.188264505106</v>
      </c>
      <c r="H48" s="56">
        <f t="shared" ref="H48:H62" ca="1" si="7">$D48*1/5+$I48*4/5</f>
        <v>10311.426558473477</v>
      </c>
      <c r="I48" s="56">
        <f ca="1">'[8]Total Distance Tables'!C18</f>
        <v>10545.664852441845</v>
      </c>
      <c r="J48" s="56">
        <f ca="1">'[8]Total Distance Tables'!D18</f>
        <v>11199.758543902939</v>
      </c>
      <c r="K48" s="56">
        <f ca="1">'[8]Total Distance Tables'!E18</f>
        <v>10585.986421263782</v>
      </c>
      <c r="L48" s="56">
        <f ca="1">'[8]Total Distance Tables'!F18</f>
        <v>9875.2327830345657</v>
      </c>
      <c r="M48" s="56">
        <f ca="1">'[8]Total Distance Tables'!G18</f>
        <v>8956.6618764373252</v>
      </c>
      <c r="N48" s="56">
        <f ca="1">'[8]Total Distance Tables'!H18</f>
        <v>7917.0012326176138</v>
      </c>
      <c r="O48" s="56">
        <f ca="1">'[8]Total Distance Tables'!I18</f>
        <v>6791.7715395910454</v>
      </c>
      <c r="P48" s="56">
        <f ca="1">'[8]Total Distance Tables'!J18</f>
        <v>5575.4703515208266</v>
      </c>
      <c r="Q48" s="57">
        <f ca="1">'[8]Total Distance Tables'!K18</f>
        <v>4280.625660411647</v>
      </c>
    </row>
    <row r="49" spans="3:17" ht="15.5" x14ac:dyDescent="0.35">
      <c r="C49" s="24" t="s">
        <v>2</v>
      </c>
      <c r="D49" s="55">
        <f ca="1">'[8]Total Distance Tables'!$B$29</f>
        <v>3709.9843593000001</v>
      </c>
      <c r="E49" s="56">
        <f t="shared" ca="1" si="4"/>
        <v>3794.9442512171936</v>
      </c>
      <c r="F49" s="56">
        <f t="shared" ca="1" si="5"/>
        <v>3879.9041431343867</v>
      </c>
      <c r="G49" s="56">
        <f t="shared" ca="1" si="6"/>
        <v>3964.8640350515802</v>
      </c>
      <c r="H49" s="56">
        <f t="shared" ca="1" si="7"/>
        <v>4049.8239269687738</v>
      </c>
      <c r="I49" s="56">
        <f ca="1">'[8]Total Distance Tables'!C29</f>
        <v>4134.7838188859669</v>
      </c>
      <c r="J49" s="56">
        <f ca="1">'[8]Total Distance Tables'!D29</f>
        <v>4365.5787913147242</v>
      </c>
      <c r="K49" s="56">
        <f ca="1">'[8]Total Distance Tables'!E29</f>
        <v>4111.7324283044254</v>
      </c>
      <c r="L49" s="56">
        <f ca="1">'[8]Total Distance Tables'!F29</f>
        <v>3796.3788060878414</v>
      </c>
      <c r="M49" s="56">
        <f ca="1">'[8]Total Distance Tables'!G29</f>
        <v>3407.1711906850528</v>
      </c>
      <c r="N49" s="56">
        <f ca="1">'[8]Total Distance Tables'!H29</f>
        <v>2979.2573537795497</v>
      </c>
      <c r="O49" s="56">
        <f ca="1">'[8]Total Distance Tables'!I29</f>
        <v>2525.8543732214061</v>
      </c>
      <c r="P49" s="56">
        <f ca="1">'[8]Total Distance Tables'!J29</f>
        <v>2049.1119856797504</v>
      </c>
      <c r="Q49" s="57">
        <f ca="1">'[8]Total Distance Tables'!K29</f>
        <v>1554.9949582236036</v>
      </c>
    </row>
    <row r="50" spans="3:17" ht="15.5" x14ac:dyDescent="0.35">
      <c r="C50" s="24" t="s">
        <v>3</v>
      </c>
      <c r="D50" s="55">
        <f ca="1">'[8]Total Distance Tables'!$B$40</f>
        <v>1972.0747595</v>
      </c>
      <c r="E50" s="56">
        <f t="shared" ca="1" si="4"/>
        <v>2010.6631617706357</v>
      </c>
      <c r="F50" s="56">
        <f t="shared" ca="1" si="5"/>
        <v>2049.2515640412716</v>
      </c>
      <c r="G50" s="56">
        <f t="shared" ca="1" si="6"/>
        <v>2087.8399663119071</v>
      </c>
      <c r="H50" s="56">
        <f t="shared" ca="1" si="7"/>
        <v>2126.428368582543</v>
      </c>
      <c r="I50" s="56">
        <f ca="1">'[8]Total Distance Tables'!C40</f>
        <v>2165.016770853179</v>
      </c>
      <c r="J50" s="56">
        <f ca="1">'[8]Total Distance Tables'!D40</f>
        <v>2265.4973574171531</v>
      </c>
      <c r="K50" s="56">
        <f ca="1">'[8]Total Distance Tables'!E40</f>
        <v>2118.1602638537111</v>
      </c>
      <c r="L50" s="56">
        <f ca="1">'[8]Total Distance Tables'!F40</f>
        <v>1941.6191912467639</v>
      </c>
      <c r="M50" s="56">
        <f ca="1">'[8]Total Distance Tables'!G40</f>
        <v>1729.6125684536873</v>
      </c>
      <c r="N50" s="56">
        <f ca="1">'[8]Total Distance Tables'!H40</f>
        <v>1501.3902294957695</v>
      </c>
      <c r="O50" s="56">
        <f ca="1">'[8]Total Distance Tables'!I40</f>
        <v>1263.503793456289</v>
      </c>
      <c r="P50" s="56">
        <f ca="1">'[8]Total Distance Tables'!J40</f>
        <v>1017.4023795298081</v>
      </c>
      <c r="Q50" s="57">
        <f ca="1">'[8]Total Distance Tables'!K40</f>
        <v>766.28466974333514</v>
      </c>
    </row>
    <row r="51" spans="3:17" ht="15.5" x14ac:dyDescent="0.35">
      <c r="C51" s="24" t="s">
        <v>4</v>
      </c>
      <c r="D51" s="55">
        <f ca="1">'[8]Total Distance Tables'!$B$51</f>
        <v>241.40144318</v>
      </c>
      <c r="E51" s="56">
        <f t="shared" ca="1" si="4"/>
        <v>243.79934728139295</v>
      </c>
      <c r="F51" s="56">
        <f t="shared" ca="1" si="5"/>
        <v>246.19725138278594</v>
      </c>
      <c r="G51" s="56">
        <f t="shared" ca="1" si="6"/>
        <v>248.59515548417886</v>
      </c>
      <c r="H51" s="56">
        <f t="shared" ca="1" si="7"/>
        <v>250.99305958557184</v>
      </c>
      <c r="I51" s="56">
        <f ca="1">'[8]Total Distance Tables'!C51</f>
        <v>253.3909636869648</v>
      </c>
      <c r="J51" s="56">
        <f ca="1">'[8]Total Distance Tables'!D51</f>
        <v>258.35214798907072</v>
      </c>
      <c r="K51" s="56">
        <f ca="1">'[8]Total Distance Tables'!E51</f>
        <v>236.68306360524554</v>
      </c>
      <c r="L51" s="56">
        <f ca="1">'[8]Total Distance Tables'!F51</f>
        <v>212.77377313616776</v>
      </c>
      <c r="M51" s="56">
        <f ca="1">'[8]Total Distance Tables'!G51</f>
        <v>185.74876671576246</v>
      </c>
      <c r="N51" s="56">
        <f ca="1">'[8]Total Distance Tables'!H51</f>
        <v>158.12396204269467</v>
      </c>
      <c r="O51" s="56">
        <f ca="1">'[8]Total Distance Tables'!I51</f>
        <v>130.61087852208377</v>
      </c>
      <c r="P51" s="56">
        <f ca="1">'[8]Total Distance Tables'!J51</f>
        <v>103.24045986083978</v>
      </c>
      <c r="Q51" s="57">
        <f ca="1">'[8]Total Distance Tables'!K51</f>
        <v>76.341314162240266</v>
      </c>
    </row>
    <row r="52" spans="3:17" ht="15.5" x14ac:dyDescent="0.35">
      <c r="C52" s="24" t="s">
        <v>5</v>
      </c>
      <c r="D52" s="55">
        <f ca="1">'[8]Total Distance Tables'!$B$62</f>
        <v>1001.7566771</v>
      </c>
      <c r="E52" s="56">
        <f t="shared" ca="1" si="4"/>
        <v>1019.6924862339213</v>
      </c>
      <c r="F52" s="56">
        <f t="shared" ca="1" si="5"/>
        <v>1037.6282953678424</v>
      </c>
      <c r="G52" s="56">
        <f t="shared" ca="1" si="6"/>
        <v>1055.5641045017637</v>
      </c>
      <c r="H52" s="56">
        <f t="shared" ca="1" si="7"/>
        <v>1073.4999136356848</v>
      </c>
      <c r="I52" s="56">
        <f ca="1">'[8]Total Distance Tables'!C62</f>
        <v>1091.4357227696062</v>
      </c>
      <c r="J52" s="56">
        <f ca="1">'[8]Total Distance Tables'!D62</f>
        <v>1141.1244858052846</v>
      </c>
      <c r="K52" s="56">
        <f ca="1">'[8]Total Distance Tables'!E62</f>
        <v>1066.8442911011505</v>
      </c>
      <c r="L52" s="56">
        <f ca="1">'[8]Total Distance Tables'!F62</f>
        <v>978.04376438387214</v>
      </c>
      <c r="M52" s="56">
        <f ca="1">'[8]Total Distance Tables'!G62</f>
        <v>872.14271536397268</v>
      </c>
      <c r="N52" s="56">
        <f ca="1">'[8]Total Distance Tables'!H62</f>
        <v>758.6589828129421</v>
      </c>
      <c r="O52" s="56">
        <f ca="1">'[8]Total Distance Tables'!I62</f>
        <v>640.47782449619638</v>
      </c>
      <c r="P52" s="56">
        <f ca="1">'[8]Total Distance Tables'!J62</f>
        <v>517.74862952750323</v>
      </c>
      <c r="Q52" s="57">
        <f ca="1">'[8]Total Distance Tables'!K62</f>
        <v>391.7805924014034</v>
      </c>
    </row>
    <row r="53" spans="3:17" ht="15.5" x14ac:dyDescent="0.35">
      <c r="C53" s="24" t="s">
        <v>6</v>
      </c>
      <c r="D53" s="55">
        <f ca="1">'[8]Total Distance Tables'!$B$73</f>
        <v>933.36875414999997</v>
      </c>
      <c r="E53" s="56">
        <f t="shared" ca="1" si="4"/>
        <v>951.91989656875558</v>
      </c>
      <c r="F53" s="56">
        <f t="shared" ca="1" si="5"/>
        <v>970.47103898751118</v>
      </c>
      <c r="G53" s="56">
        <f t="shared" ca="1" si="6"/>
        <v>989.02218140626678</v>
      </c>
      <c r="H53" s="56">
        <f t="shared" ca="1" si="7"/>
        <v>1007.5733238250223</v>
      </c>
      <c r="I53" s="56">
        <f ca="1">'[8]Total Distance Tables'!C73</f>
        <v>1026.1244662437778</v>
      </c>
      <c r="J53" s="56">
        <f ca="1">'[8]Total Distance Tables'!D73</f>
        <v>1082.1165563157529</v>
      </c>
      <c r="K53" s="56">
        <f ca="1">'[8]Total Distance Tables'!E73</f>
        <v>1019.2286144287709</v>
      </c>
      <c r="L53" s="56">
        <f ca="1">'[8]Total Distance Tables'!F73</f>
        <v>942.37549904727848</v>
      </c>
      <c r="M53" s="56">
        <f ca="1">'[8]Total Distance Tables'!G73</f>
        <v>847.85887203565972</v>
      </c>
      <c r="N53" s="56">
        <f ca="1">'[8]Total Distance Tables'!H73</f>
        <v>744.06990057962116</v>
      </c>
      <c r="O53" s="56">
        <f ca="1">'[8]Total Distance Tables'!I73</f>
        <v>633.46273502407405</v>
      </c>
      <c r="P53" s="56">
        <f ca="1">'[8]Total Distance Tables'!J73</f>
        <v>516.30187172192234</v>
      </c>
      <c r="Q53" s="57">
        <f ca="1">'[8]Total Distance Tables'!K73</f>
        <v>393.83311142272271</v>
      </c>
    </row>
    <row r="54" spans="3:17" ht="15.5" x14ac:dyDescent="0.35">
      <c r="C54" s="24" t="s">
        <v>7</v>
      </c>
      <c r="D54" s="55">
        <f ca="1">'[8]Total Distance Tables'!$B$84</f>
        <v>1782.4745101999999</v>
      </c>
      <c r="E54" s="56">
        <f t="shared" ca="1" si="4"/>
        <v>1810.2218244683077</v>
      </c>
      <c r="F54" s="56">
        <f t="shared" ca="1" si="5"/>
        <v>1837.9691387366156</v>
      </c>
      <c r="G54" s="56">
        <f t="shared" ca="1" si="6"/>
        <v>1865.7164530049231</v>
      </c>
      <c r="H54" s="56">
        <f t="shared" ca="1" si="7"/>
        <v>1893.4637672732308</v>
      </c>
      <c r="I54" s="56">
        <f ca="1">'[8]Total Distance Tables'!C84</f>
        <v>1921.2110815415385</v>
      </c>
      <c r="J54" s="56">
        <f ca="1">'[8]Total Distance Tables'!D84</f>
        <v>1984.3410238603742</v>
      </c>
      <c r="K54" s="56">
        <f ca="1">'[8]Total Distance Tables'!E84</f>
        <v>1836.4088479357292</v>
      </c>
      <c r="L54" s="56">
        <f ca="1">'[8]Total Distance Tables'!F84</f>
        <v>1666.7762580167227</v>
      </c>
      <c r="M54" s="56">
        <f ca="1">'[8]Total Distance Tables'!G84</f>
        <v>1471.3910025389516</v>
      </c>
      <c r="N54" s="56">
        <f ca="1">'[8]Total Distance Tables'!H84</f>
        <v>1265.5634246466209</v>
      </c>
      <c r="O54" s="56">
        <f ca="1">'[8]Total Distance Tables'!I84</f>
        <v>1056.4311725558969</v>
      </c>
      <c r="P54" s="56">
        <f ca="1">'[8]Total Distance Tables'!J84</f>
        <v>844.36528501290604</v>
      </c>
      <c r="Q54" s="57">
        <f ca="1">'[8]Total Distance Tables'!K84</f>
        <v>631.6988450657044</v>
      </c>
    </row>
    <row r="55" spans="3:17" ht="15.5" x14ac:dyDescent="0.35">
      <c r="C55" s="24" t="s">
        <v>8</v>
      </c>
      <c r="D55" s="55">
        <f ca="1">'[8]Total Distance Tables'!$B$95</f>
        <v>3481.4296611999998</v>
      </c>
      <c r="E55" s="56">
        <f t="shared" ca="1" si="4"/>
        <v>3554.8257369037551</v>
      </c>
      <c r="F55" s="56">
        <f t="shared" ca="1" si="5"/>
        <v>3628.2218126075104</v>
      </c>
      <c r="G55" s="56">
        <f t="shared" ca="1" si="6"/>
        <v>3701.6178883112652</v>
      </c>
      <c r="H55" s="56">
        <f t="shared" ca="1" si="7"/>
        <v>3775.0139640150205</v>
      </c>
      <c r="I55" s="56">
        <f ca="1">'[8]Total Distance Tables'!C95</f>
        <v>3848.4100397187758</v>
      </c>
      <c r="J55" s="56">
        <f ca="1">'[8]Total Distance Tables'!D95</f>
        <v>4058.5119383973488</v>
      </c>
      <c r="K55" s="56">
        <f ca="1">'[8]Total Distance Tables'!E95</f>
        <v>3825.8185551121137</v>
      </c>
      <c r="L55" s="56">
        <f ca="1">'[8]Total Distance Tables'!F95</f>
        <v>3540.2692918304451</v>
      </c>
      <c r="M55" s="56">
        <f ca="1">'[8]Total Distance Tables'!G95</f>
        <v>3185.652694491605</v>
      </c>
      <c r="N55" s="56">
        <f ca="1">'[8]Total Distance Tables'!H95</f>
        <v>2793.147897573283</v>
      </c>
      <c r="O55" s="56">
        <f ca="1">'[8]Total Distance Tables'!I95</f>
        <v>2376.866934209474</v>
      </c>
      <c r="P55" s="56">
        <f ca="1">'[8]Total Distance Tables'!J95</f>
        <v>1935.7047003789041</v>
      </c>
      <c r="Q55" s="57">
        <f ca="1">'[8]Total Distance Tables'!K95</f>
        <v>1474.896178923231</v>
      </c>
    </row>
    <row r="56" spans="3:17" ht="15.5" x14ac:dyDescent="0.35">
      <c r="C56" s="24" t="s">
        <v>9</v>
      </c>
      <c r="D56" s="55">
        <f ca="1">'[8]Total Distance Tables'!$B$106</f>
        <v>1012.1329009999999</v>
      </c>
      <c r="E56" s="56">
        <f t="shared" ca="1" si="4"/>
        <v>1025.60648153636</v>
      </c>
      <c r="F56" s="56">
        <f t="shared" ca="1" si="5"/>
        <v>1039.08006207272</v>
      </c>
      <c r="G56" s="56">
        <f t="shared" ca="1" si="6"/>
        <v>1052.5536426090798</v>
      </c>
      <c r="H56" s="56">
        <f t="shared" ca="1" si="7"/>
        <v>1066.0272231454398</v>
      </c>
      <c r="I56" s="56">
        <f ca="1">'[8]Total Distance Tables'!C106</f>
        <v>1079.5008036817999</v>
      </c>
      <c r="J56" s="56">
        <f ca="1">'[8]Total Distance Tables'!D106</f>
        <v>1113.5109312275663</v>
      </c>
      <c r="K56" s="56">
        <f ca="1">'[8]Total Distance Tables'!E106</f>
        <v>1030.4601867943102</v>
      </c>
      <c r="L56" s="56">
        <f ca="1">'[8]Total Distance Tables'!F106</f>
        <v>935.16650270195623</v>
      </c>
      <c r="M56" s="56">
        <f ca="1">'[8]Total Distance Tables'!G106</f>
        <v>824.92368282191717</v>
      </c>
      <c r="N56" s="56">
        <f ca="1">'[8]Total Distance Tables'!H106</f>
        <v>707.994326015296</v>
      </c>
      <c r="O56" s="56">
        <f ca="1">'[8]Total Distance Tables'!I106</f>
        <v>589.44609085964544</v>
      </c>
      <c r="P56" s="56">
        <f ca="1">'[8]Total Distance Tables'!J106</f>
        <v>469.64297840829363</v>
      </c>
      <c r="Q56" s="57">
        <f ca="1">'[8]Total Distance Tables'!K106</f>
        <v>350.06704638744037</v>
      </c>
    </row>
    <row r="57" spans="3:17" ht="15.5" x14ac:dyDescent="0.35">
      <c r="C57" s="24" t="s">
        <v>10</v>
      </c>
      <c r="D57" s="55">
        <f ca="1">'[8]Total Distance Tables'!$B$117</f>
        <v>226.22434741999999</v>
      </c>
      <c r="E57" s="56">
        <f t="shared" ca="1" si="4"/>
        <v>226.3053471464226</v>
      </c>
      <c r="F57" s="56">
        <f t="shared" ca="1" si="5"/>
        <v>226.38634687284525</v>
      </c>
      <c r="G57" s="56">
        <f t="shared" ca="1" si="6"/>
        <v>226.46734659926784</v>
      </c>
      <c r="H57" s="56">
        <f t="shared" ca="1" si="7"/>
        <v>226.54834632569046</v>
      </c>
      <c r="I57" s="56">
        <f ca="1">'[8]Total Distance Tables'!C117</f>
        <v>226.62934605211308</v>
      </c>
      <c r="J57" s="56">
        <f ca="1">'[8]Total Distance Tables'!D117</f>
        <v>226.96005588680765</v>
      </c>
      <c r="K57" s="56">
        <f ca="1">'[8]Total Distance Tables'!E117</f>
        <v>204.25284799289031</v>
      </c>
      <c r="L57" s="56">
        <f ca="1">'[8]Total Distance Tables'!F117</f>
        <v>180.34106423530739</v>
      </c>
      <c r="M57" s="56">
        <f ca="1">'[8]Total Distance Tables'!G117</f>
        <v>154.8522867152243</v>
      </c>
      <c r="N57" s="56">
        <f ca="1">'[8]Total Distance Tables'!H117</f>
        <v>129.71018554888866</v>
      </c>
      <c r="O57" s="56">
        <f ca="1">'[8]Total Distance Tables'!I117</f>
        <v>105.37421442292499</v>
      </c>
      <c r="P57" s="56">
        <f ca="1">'[8]Total Distance Tables'!J117</f>
        <v>81.91879361397632</v>
      </c>
      <c r="Q57" s="57">
        <f ca="1">'[8]Total Distance Tables'!K117</f>
        <v>59.57607403233159</v>
      </c>
    </row>
    <row r="58" spans="3:17" ht="15.5" x14ac:dyDescent="0.35">
      <c r="C58" s="24" t="s">
        <v>11</v>
      </c>
      <c r="D58" s="55">
        <f ca="1">'[8]Total Distance Tables'!$B$128</f>
        <v>3777.041205</v>
      </c>
      <c r="E58" s="56">
        <f t="shared" ca="1" si="4"/>
        <v>3884.2530404399536</v>
      </c>
      <c r="F58" s="56">
        <f t="shared" ca="1" si="5"/>
        <v>3991.4648758799076</v>
      </c>
      <c r="G58" s="56">
        <f t="shared" ca="1" si="6"/>
        <v>4098.6767113198612</v>
      </c>
      <c r="H58" s="56">
        <f t="shared" ca="1" si="7"/>
        <v>4205.8885467598147</v>
      </c>
      <c r="I58" s="56">
        <f ca="1">'[8]Total Distance Tables'!C128</f>
        <v>4313.1003821997683</v>
      </c>
      <c r="J58" s="56">
        <f ca="1">'[8]Total Distance Tables'!D128</f>
        <v>4646.5778438610932</v>
      </c>
      <c r="K58" s="56">
        <f ca="1">'[8]Total Distance Tables'!E128</f>
        <v>4442.0665251145056</v>
      </c>
      <c r="L58" s="56">
        <f ca="1">'[8]Total Distance Tables'!F128</f>
        <v>4162.7720517127664</v>
      </c>
      <c r="M58" s="56">
        <f ca="1">'[8]Total Distance Tables'!G128</f>
        <v>3793.0961388519859</v>
      </c>
      <c r="N58" s="56">
        <f ca="1">'[8]Total Distance Tables'!H128</f>
        <v>3367.5584344329231</v>
      </c>
      <c r="O58" s="56">
        <f ca="1">'[8]Total Distance Tables'!I128</f>
        <v>2902.8064599985582</v>
      </c>
      <c r="P58" s="56">
        <f ca="1">'[8]Total Distance Tables'!J128</f>
        <v>2394.6708960268288</v>
      </c>
      <c r="Q58" s="57">
        <f ca="1">'[8]Total Distance Tables'!K128</f>
        <v>1848.1951688915317</v>
      </c>
    </row>
    <row r="59" spans="3:17" ht="15.5" x14ac:dyDescent="0.35">
      <c r="C59" s="24" t="s">
        <v>12</v>
      </c>
      <c r="D59" s="55">
        <f ca="1">'[8]Total Distance Tables'!$B$139</f>
        <v>1192.1699989000001</v>
      </c>
      <c r="E59" s="56">
        <f t="shared" ca="1" si="4"/>
        <v>1225.4025357932546</v>
      </c>
      <c r="F59" s="56">
        <f t="shared" ca="1" si="5"/>
        <v>1258.6350726865094</v>
      </c>
      <c r="G59" s="56">
        <f t="shared" ca="1" si="6"/>
        <v>1291.8676095797637</v>
      </c>
      <c r="H59" s="56">
        <f t="shared" ca="1" si="7"/>
        <v>1325.1001464730184</v>
      </c>
      <c r="I59" s="56">
        <f ca="1">'[8]Total Distance Tables'!C139</f>
        <v>1358.3326833662729</v>
      </c>
      <c r="J59" s="56">
        <f ca="1">'[8]Total Distance Tables'!D139</f>
        <v>1460.1868500585538</v>
      </c>
      <c r="K59" s="56">
        <f ca="1">'[8]Total Distance Tables'!E139</f>
        <v>1389.7121648072377</v>
      </c>
      <c r="L59" s="56">
        <f ca="1">'[8]Total Distance Tables'!F139</f>
        <v>1296.9337036832276</v>
      </c>
      <c r="M59" s="56">
        <f ca="1">'[8]Total Distance Tables'!G139</f>
        <v>1176.4773427722305</v>
      </c>
      <c r="N59" s="56">
        <f ca="1">'[8]Total Distance Tables'!H139</f>
        <v>1040.2015071890396</v>
      </c>
      <c r="O59" s="56">
        <f ca="1">'[8]Total Distance Tables'!I139</f>
        <v>892.38032775022509</v>
      </c>
      <c r="P59" s="56">
        <f ca="1">'[8]Total Distance Tables'!J139</f>
        <v>732.63636853409014</v>
      </c>
      <c r="Q59" s="57">
        <f ca="1">'[8]Total Distance Tables'!K139</f>
        <v>562.71102628812639</v>
      </c>
    </row>
    <row r="60" spans="3:17" ht="16" thickBot="1" x14ac:dyDescent="0.4">
      <c r="C60" s="25" t="s">
        <v>13</v>
      </c>
      <c r="D60" s="58">
        <f ca="1">'[8]Total Distance Tables'!B150</f>
        <v>657.74873722999996</v>
      </c>
      <c r="E60" s="59">
        <f t="shared" ca="1" si="4"/>
        <v>664.47213391332423</v>
      </c>
      <c r="F60" s="59">
        <f t="shared" ca="1" si="5"/>
        <v>671.1955305966485</v>
      </c>
      <c r="G60" s="59">
        <f t="shared" ca="1" si="6"/>
        <v>677.91892727997276</v>
      </c>
      <c r="H60" s="59">
        <f t="shared" ca="1" si="7"/>
        <v>684.64232396329703</v>
      </c>
      <c r="I60" s="59">
        <f ca="1">'[8]Total Distance Tables'!C150</f>
        <v>691.3657206466213</v>
      </c>
      <c r="J60" s="59">
        <f ca="1">'[8]Total Distance Tables'!D150</f>
        <v>698.60538290264969</v>
      </c>
      <c r="K60" s="59">
        <f ca="1">'[8]Total Distance Tables'!E150</f>
        <v>635.71836970230959</v>
      </c>
      <c r="L60" s="59">
        <f ca="1">'[8]Total Distance Tables'!F150</f>
        <v>568.29003036071879</v>
      </c>
      <c r="M60" s="59">
        <f ca="1">'[8]Total Distance Tables'!G150</f>
        <v>494.31326804621477</v>
      </c>
      <c r="N60" s="59">
        <f ca="1">'[8]Total Distance Tables'!H150</f>
        <v>419.24995600098708</v>
      </c>
      <c r="O60" s="59">
        <f ca="1">'[8]Total Distance Tables'!I150</f>
        <v>344.89873577332975</v>
      </c>
      <c r="P60" s="59">
        <f ca="1">'[8]Total Distance Tables'!J150</f>
        <v>271.51830086954095</v>
      </c>
      <c r="Q60" s="60">
        <f ca="1">'[8]Total Distance Tables'!K150</f>
        <v>199.9612050867344</v>
      </c>
    </row>
    <row r="61" spans="3:17" ht="16.5" thickTop="1" thickBot="1" x14ac:dyDescent="0.4">
      <c r="C61" s="31" t="s">
        <v>24</v>
      </c>
      <c r="D61" s="61">
        <f t="shared" ref="D61:N61" ca="1" si="8">SUM(D47:D60)</f>
        <v>30373.708042980001</v>
      </c>
      <c r="E61" s="59">
        <f t="shared" ca="1" si="8"/>
        <v>31052.84449059271</v>
      </c>
      <c r="F61" s="59">
        <f t="shared" ca="1" si="8"/>
        <v>31731.980938205408</v>
      </c>
      <c r="G61" s="59">
        <f t="shared" ca="1" si="8"/>
        <v>32411.117385818114</v>
      </c>
      <c r="H61" s="59">
        <f t="shared" ca="1" si="8"/>
        <v>33090.253833430819</v>
      </c>
      <c r="I61" s="62">
        <f t="shared" ca="1" si="8"/>
        <v>33769.390281043525</v>
      </c>
      <c r="J61" s="62">
        <f t="shared" ca="1" si="8"/>
        <v>35674.759537975624</v>
      </c>
      <c r="K61" s="62">
        <f t="shared" ca="1" si="8"/>
        <v>33606.519365973792</v>
      </c>
      <c r="L61" s="62">
        <f t="shared" ca="1" si="8"/>
        <v>31113.149614196311</v>
      </c>
      <c r="M61" s="62">
        <f t="shared" ca="1" si="8"/>
        <v>28009.708942737649</v>
      </c>
      <c r="N61" s="62">
        <f t="shared" ca="1" si="8"/>
        <v>24575.002433335067</v>
      </c>
      <c r="O61" s="62">
        <f t="shared" ref="O61:Q61" ca="1" si="9">SUM(O47:O60)</f>
        <v>20924.327655618879</v>
      </c>
      <c r="P61" s="62">
        <f t="shared" ca="1" si="9"/>
        <v>17052.323254220162</v>
      </c>
      <c r="Q61" s="63">
        <f t="shared" ca="1" si="9"/>
        <v>13001.925277123322</v>
      </c>
    </row>
    <row r="62" spans="3:17" ht="16.5" thickTop="1" thickBot="1" x14ac:dyDescent="0.4">
      <c r="C62" s="8" t="s">
        <v>35</v>
      </c>
      <c r="D62" s="62">
        <f ca="1">'[8]Total Distance Tables'!$B$161</f>
        <v>30373.708042980001</v>
      </c>
      <c r="E62" s="62">
        <f ca="1">D62*4/5 + I62/5</f>
        <v>31052.844490592706</v>
      </c>
      <c r="F62" s="62">
        <f ca="1">D62*3/5+I62*2/5</f>
        <v>31731.980938205412</v>
      </c>
      <c r="G62" s="62">
        <f t="shared" ca="1" si="6"/>
        <v>32411.117385818114</v>
      </c>
      <c r="H62" s="62">
        <f t="shared" ca="1" si="7"/>
        <v>33090.253833430819</v>
      </c>
      <c r="I62" s="62">
        <f ca="1">'[8]Total Distance Tables'!C161</f>
        <v>33769.390281043525</v>
      </c>
      <c r="J62" s="62">
        <f ca="1">'[8]Total Distance Tables'!D161</f>
        <v>35674.759537975624</v>
      </c>
      <c r="K62" s="62">
        <f ca="1">'[8]Total Distance Tables'!E161</f>
        <v>33606.519365973792</v>
      </c>
      <c r="L62" s="62">
        <f ca="1">'[8]Total Distance Tables'!F161</f>
        <v>31113.149614196311</v>
      </c>
      <c r="M62" s="62">
        <f ca="1">'[8]Total Distance Tables'!G161</f>
        <v>28009.708942737649</v>
      </c>
      <c r="N62" s="62">
        <f ca="1">'[8]Total Distance Tables'!H161</f>
        <v>24575.002433335067</v>
      </c>
      <c r="O62" s="62">
        <f ca="1">'[8]Total Distance Tables'!I161</f>
        <v>20924.327655618879</v>
      </c>
      <c r="P62" s="62">
        <f ca="1">'[8]Total Distance Tables'!J161</f>
        <v>17052.323254220162</v>
      </c>
      <c r="Q62" s="63">
        <f ca="1">'[8]Total Distance Tables'!K161</f>
        <v>13001.925277123322</v>
      </c>
    </row>
    <row r="63" spans="3:17" ht="13" thickTop="1" x14ac:dyDescent="0.25">
      <c r="C63" s="43"/>
      <c r="D63" s="43"/>
      <c r="E63" s="53"/>
      <c r="F63" s="53"/>
      <c r="G63" s="56"/>
      <c r="H63" s="56"/>
      <c r="I63" s="43"/>
      <c r="J63" s="43"/>
      <c r="K63" s="43"/>
      <c r="L63" s="43"/>
      <c r="M63" s="43"/>
      <c r="N63" s="43"/>
    </row>
    <row r="64" spans="3:17" ht="13" thickBot="1" x14ac:dyDescent="0.3"/>
    <row r="65" spans="3:17" ht="16" thickTop="1" x14ac:dyDescent="0.35">
      <c r="C65" s="32" t="s">
        <v>146</v>
      </c>
      <c r="D65" s="33"/>
      <c r="E65" s="33"/>
      <c r="F65" s="33"/>
      <c r="G65" s="33"/>
      <c r="H65" s="33"/>
      <c r="I65" s="33"/>
      <c r="J65" s="34"/>
      <c r="K65" s="34"/>
      <c r="L65" s="34"/>
      <c r="M65" s="34"/>
      <c r="N65" s="34"/>
      <c r="O65" s="34"/>
      <c r="P65" s="34"/>
      <c r="Q65" s="35"/>
    </row>
    <row r="66" spans="3:17" ht="13.5" thickBot="1" x14ac:dyDescent="0.35">
      <c r="C66" s="36"/>
      <c r="D66" s="37" t="s">
        <v>25</v>
      </c>
      <c r="E66" s="37" t="s">
        <v>37</v>
      </c>
      <c r="F66" s="37" t="s">
        <v>38</v>
      </c>
      <c r="G66" s="37" t="s">
        <v>177</v>
      </c>
      <c r="H66" s="37" t="s">
        <v>178</v>
      </c>
      <c r="I66" s="37" t="s">
        <v>26</v>
      </c>
      <c r="J66" s="37" t="s">
        <v>27</v>
      </c>
      <c r="K66" s="37" t="s">
        <v>28</v>
      </c>
      <c r="L66" s="37" t="s">
        <v>29</v>
      </c>
      <c r="M66" s="37" t="s">
        <v>30</v>
      </c>
      <c r="N66" s="37" t="s">
        <v>31</v>
      </c>
      <c r="O66" s="37" t="s">
        <v>174</v>
      </c>
      <c r="P66" s="37" t="s">
        <v>175</v>
      </c>
      <c r="Q66" s="38" t="s">
        <v>176</v>
      </c>
    </row>
    <row r="67" spans="3:17" ht="14" thickTop="1" thickBot="1" x14ac:dyDescent="0.35">
      <c r="C67" s="18"/>
      <c r="D67" s="65" t="s">
        <v>39</v>
      </c>
      <c r="E67" s="65" t="s">
        <v>32</v>
      </c>
      <c r="F67" s="65" t="s">
        <v>32</v>
      </c>
      <c r="G67" s="65" t="s">
        <v>32</v>
      </c>
      <c r="H67" s="65" t="s">
        <v>32</v>
      </c>
      <c r="I67" s="65" t="s">
        <v>32</v>
      </c>
      <c r="J67" s="65" t="s">
        <v>32</v>
      </c>
      <c r="K67" s="65" t="s">
        <v>32</v>
      </c>
      <c r="L67" s="65" t="s">
        <v>32</v>
      </c>
      <c r="M67" s="65" t="s">
        <v>32</v>
      </c>
      <c r="N67" s="65" t="s">
        <v>32</v>
      </c>
      <c r="O67" s="65" t="s">
        <v>32</v>
      </c>
      <c r="P67" s="65" t="s">
        <v>32</v>
      </c>
      <c r="Q67" s="66" t="s">
        <v>32</v>
      </c>
    </row>
    <row r="68" spans="3:17" ht="16" thickTop="1" x14ac:dyDescent="0.35">
      <c r="C68" s="24" t="s">
        <v>0</v>
      </c>
      <c r="D68" s="52">
        <f ca="1">'[8]Total Distance Tables'!$B$8</f>
        <v>666.23785996000004</v>
      </c>
      <c r="E68" s="53">
        <f t="shared" ref="E68:E81" ca="1" si="10">D68*4/5 + I68/5</f>
        <v>674.38943159678081</v>
      </c>
      <c r="F68" s="53">
        <f t="shared" ref="F68:F81" ca="1" si="11">D68*3/5+I68*2/5</f>
        <v>682.54100323356147</v>
      </c>
      <c r="G68" s="53">
        <f ca="1">D68*2/5+I68*3/5</f>
        <v>690.69257487034224</v>
      </c>
      <c r="H68" s="53">
        <f ca="1">D68*1/5+I68*4/5</f>
        <v>698.84414650712279</v>
      </c>
      <c r="I68" s="53">
        <f ca="1">'[8]Total Distance Tables'!C8</f>
        <v>706.99571814390356</v>
      </c>
      <c r="J68" s="53">
        <f ca="1">'[8]Total Distance Tables'!D8</f>
        <v>729.32342906434963</v>
      </c>
      <c r="K68" s="53">
        <f ca="1">'[8]Total Distance Tables'!E8</f>
        <v>672.13101551115028</v>
      </c>
      <c r="L68" s="53">
        <f ca="1">'[8]Total Distance Tables'!F8</f>
        <v>605.88219787750961</v>
      </c>
      <c r="M68" s="53">
        <f ca="1">'[8]Total Distance Tables'!G8</f>
        <v>533.40924092384057</v>
      </c>
      <c r="N68" s="53">
        <f ca="1">'[8]Total Distance Tables'!H8</f>
        <v>457.15366986764968</v>
      </c>
      <c r="O68" s="53">
        <f ca="1">'[8]Total Distance Tables'!I8</f>
        <v>386.65434969687806</v>
      </c>
      <c r="P68" s="53">
        <f ca="1">'[8]Total Distance Tables'!J8</f>
        <v>313.07420434527091</v>
      </c>
      <c r="Q68" s="54">
        <f ca="1">'[8]Total Distance Tables'!K8</f>
        <v>237.24042082093601</v>
      </c>
    </row>
    <row r="69" spans="3:17" ht="15.5" x14ac:dyDescent="0.35">
      <c r="C69" s="24" t="s">
        <v>1</v>
      </c>
      <c r="D69" s="55">
        <f ca="1">'[8]Total Distance Tables'!$B$19</f>
        <v>4814.6436660999998</v>
      </c>
      <c r="E69" s="56">
        <f t="shared" ca="1" si="10"/>
        <v>4891.0815026309556</v>
      </c>
      <c r="F69" s="56">
        <f t="shared" ca="1" si="11"/>
        <v>4967.5193391619123</v>
      </c>
      <c r="G69" s="56">
        <f t="shared" ref="G69:G81" ca="1" si="12">D69*2/5+I69*3/5</f>
        <v>5043.957175692869</v>
      </c>
      <c r="H69" s="56">
        <f t="shared" ref="H69:H81" ca="1" si="13">D69*1/5+I69*4/5</f>
        <v>5120.3950122238257</v>
      </c>
      <c r="I69" s="56">
        <f ca="1">'[8]Total Distance Tables'!C19</f>
        <v>5196.8328487547815</v>
      </c>
      <c r="J69" s="56">
        <f ca="1">'[8]Total Distance Tables'!D19</f>
        <v>5331.245432064351</v>
      </c>
      <c r="K69" s="56">
        <f ca="1">'[8]Total Distance Tables'!E19</f>
        <v>4871.5715397046379</v>
      </c>
      <c r="L69" s="56">
        <f ca="1">'[8]Total Distance Tables'!F19</f>
        <v>4414.911023337294</v>
      </c>
      <c r="M69" s="56">
        <f ca="1">'[8]Total Distance Tables'!G19</f>
        <v>3906.9490611651863</v>
      </c>
      <c r="N69" s="56">
        <f ca="1">'[8]Total Distance Tables'!H19</f>
        <v>3367.4694956583298</v>
      </c>
      <c r="O69" s="56">
        <f ca="1">'[8]Total Distance Tables'!I19</f>
        <v>2874.656252131344</v>
      </c>
      <c r="P69" s="56">
        <f ca="1">'[8]Total Distance Tables'!J19</f>
        <v>2347.342849540672</v>
      </c>
      <c r="Q69" s="57">
        <f ca="1">'[8]Total Distance Tables'!K19</f>
        <v>1791.3782525314473</v>
      </c>
    </row>
    <row r="70" spans="3:17" ht="15.5" x14ac:dyDescent="0.35">
      <c r="C70" s="24" t="s">
        <v>2</v>
      </c>
      <c r="D70" s="55">
        <f ca="1">'[8]Total Distance Tables'!$B$30</f>
        <v>1955.0668243</v>
      </c>
      <c r="E70" s="56">
        <f t="shared" ca="1" si="10"/>
        <v>1983.7584843737159</v>
      </c>
      <c r="F70" s="56">
        <f t="shared" ca="1" si="11"/>
        <v>2012.4501444474317</v>
      </c>
      <c r="G70" s="56">
        <f t="shared" ca="1" si="12"/>
        <v>2041.1418045211476</v>
      </c>
      <c r="H70" s="56">
        <f t="shared" ca="1" si="13"/>
        <v>2069.8334645948635</v>
      </c>
      <c r="I70" s="56">
        <f ca="1">'[8]Total Distance Tables'!C30</f>
        <v>2098.5251246685793</v>
      </c>
      <c r="J70" s="56">
        <f ca="1">'[8]Total Distance Tables'!D30</f>
        <v>2169.6653013674068</v>
      </c>
      <c r="K70" s="56">
        <f ca="1">'[8]Total Distance Tables'!E30</f>
        <v>2002.4411190591566</v>
      </c>
      <c r="L70" s="56">
        <f ca="1">'[8]Total Distance Tables'!F30</f>
        <v>1809.1680667914611</v>
      </c>
      <c r="M70" s="56">
        <f ca="1">'[8]Total Distance Tables'!G30</f>
        <v>1596.0185688208985</v>
      </c>
      <c r="N70" s="56">
        <f ca="1">'[8]Total Distance Tables'!H30</f>
        <v>1371.5596749525751</v>
      </c>
      <c r="O70" s="56">
        <f ca="1">'[8]Total Distance Tables'!I30</f>
        <v>1163.4029866288183</v>
      </c>
      <c r="P70" s="56">
        <f ca="1">'[8]Total Distance Tables'!J30</f>
        <v>944.28551262718702</v>
      </c>
      <c r="Q70" s="57">
        <f ca="1">'[8]Total Distance Tables'!K30</f>
        <v>716.94003810113679</v>
      </c>
    </row>
    <row r="71" spans="3:17" ht="15.5" x14ac:dyDescent="0.35">
      <c r="C71" s="24" t="s">
        <v>3</v>
      </c>
      <c r="D71" s="55">
        <f ca="1">'[8]Total Distance Tables'!$B$41</f>
        <v>1385.2330090999999</v>
      </c>
      <c r="E71" s="56">
        <f t="shared" ca="1" si="10"/>
        <v>1401.1155330750566</v>
      </c>
      <c r="F71" s="56">
        <f t="shared" ca="1" si="11"/>
        <v>1416.9980570501129</v>
      </c>
      <c r="G71" s="56">
        <f t="shared" ca="1" si="12"/>
        <v>1432.8805810251699</v>
      </c>
      <c r="H71" s="56">
        <f t="shared" ca="1" si="13"/>
        <v>1448.7631050002265</v>
      </c>
      <c r="I71" s="56">
        <f ca="1">'[8]Total Distance Tables'!C41</f>
        <v>1464.6456289752832</v>
      </c>
      <c r="J71" s="56">
        <f ca="1">'[8]Total Distance Tables'!D41</f>
        <v>1501.1589621483217</v>
      </c>
      <c r="K71" s="56">
        <f ca="1">'[8]Total Distance Tables'!E41</f>
        <v>1375.6493411218171</v>
      </c>
      <c r="L71" s="56">
        <f ca="1">'[8]Total Distance Tables'!F41</f>
        <v>1234.2228343148506</v>
      </c>
      <c r="M71" s="56">
        <f ca="1">'[8]Total Distance Tables'!G41</f>
        <v>1081.0082094697289</v>
      </c>
      <c r="N71" s="56">
        <f ca="1">'[8]Total Distance Tables'!H41</f>
        <v>922.48969834580112</v>
      </c>
      <c r="O71" s="56">
        <f ca="1">'[8]Total Distance Tables'!I41</f>
        <v>776.70914698153626</v>
      </c>
      <c r="P71" s="56">
        <f ca="1">'[8]Total Distance Tables'!J41</f>
        <v>625.73312118083447</v>
      </c>
      <c r="Q71" s="57">
        <f ca="1">'[8]Total Distance Tables'!K41</f>
        <v>471.52151492463764</v>
      </c>
    </row>
    <row r="72" spans="3:17" ht="15.5" x14ac:dyDescent="0.35">
      <c r="C72" s="24" t="s">
        <v>4</v>
      </c>
      <c r="D72" s="55">
        <f ca="1">'[8]Total Distance Tables'!$B$52</f>
        <v>174.74236519999999</v>
      </c>
      <c r="E72" s="56">
        <f t="shared" ca="1" si="10"/>
        <v>175.12451585548024</v>
      </c>
      <c r="F72" s="56">
        <f t="shared" ca="1" si="11"/>
        <v>175.50666651096049</v>
      </c>
      <c r="G72" s="56">
        <f t="shared" ca="1" si="12"/>
        <v>175.8888171664407</v>
      </c>
      <c r="H72" s="56">
        <f t="shared" ca="1" si="13"/>
        <v>176.27096782192098</v>
      </c>
      <c r="I72" s="56">
        <f ca="1">'[8]Total Distance Tables'!C52</f>
        <v>176.65311847740119</v>
      </c>
      <c r="J72" s="56">
        <f ca="1">'[8]Total Distance Tables'!D52</f>
        <v>176.36056968037889</v>
      </c>
      <c r="K72" s="56">
        <f ca="1">'[8]Total Distance Tables'!E52</f>
        <v>158.30665224249944</v>
      </c>
      <c r="L72" s="56">
        <f ca="1">'[8]Total Distance Tables'!F52</f>
        <v>139.24164738672494</v>
      </c>
      <c r="M72" s="56">
        <f ca="1">'[8]Total Distance Tables'!G52</f>
        <v>119.4660538185408</v>
      </c>
      <c r="N72" s="56">
        <f ca="1">'[8]Total Distance Tables'!H52</f>
        <v>99.93028857575645</v>
      </c>
      <c r="O72" s="56">
        <f ca="1">'[8]Total Distance Tables'!I52</f>
        <v>82.583875884409835</v>
      </c>
      <c r="P72" s="56">
        <f ca="1">'[8]Total Distance Tables'!J52</f>
        <v>65.310481053084274</v>
      </c>
      <c r="Q72" s="57">
        <f ca="1">'[8]Total Distance Tables'!K52</f>
        <v>48.318124665522262</v>
      </c>
    </row>
    <row r="73" spans="3:17" ht="15.5" x14ac:dyDescent="0.35">
      <c r="C73" s="24" t="s">
        <v>5</v>
      </c>
      <c r="D73" s="55">
        <f ca="1">'[8]Total Distance Tables'!$B$63</f>
        <v>607.82570181000006</v>
      </c>
      <c r="E73" s="56">
        <f t="shared" ca="1" si="10"/>
        <v>613.82123737318307</v>
      </c>
      <c r="F73" s="56">
        <f t="shared" ca="1" si="11"/>
        <v>619.81677293636608</v>
      </c>
      <c r="G73" s="56">
        <f t="shared" ca="1" si="12"/>
        <v>625.81230849954909</v>
      </c>
      <c r="H73" s="56">
        <f t="shared" ca="1" si="13"/>
        <v>631.8078440627321</v>
      </c>
      <c r="I73" s="56">
        <f ca="1">'[8]Total Distance Tables'!C63</f>
        <v>637.80337962591511</v>
      </c>
      <c r="J73" s="56">
        <f ca="1">'[8]Total Distance Tables'!D63</f>
        <v>652.94330591079756</v>
      </c>
      <c r="K73" s="56">
        <f ca="1">'[8]Total Distance Tables'!E63</f>
        <v>598.11907001076099</v>
      </c>
      <c r="L73" s="56">
        <f ca="1">'[8]Total Distance Tables'!F63</f>
        <v>536.50478983468349</v>
      </c>
      <c r="M73" s="56">
        <f ca="1">'[8]Total Distance Tables'!G63</f>
        <v>470.20328207566166</v>
      </c>
      <c r="N73" s="56">
        <f ca="1">'[8]Total Distance Tables'!H63</f>
        <v>401.92825495386836</v>
      </c>
      <c r="O73" s="56">
        <f ca="1">'[8]Total Distance Tables'!I63</f>
        <v>339.48610309706049</v>
      </c>
      <c r="P73" s="56">
        <f ca="1">'[8]Total Distance Tables'!J63</f>
        <v>274.57021047542548</v>
      </c>
      <c r="Q73" s="57">
        <f ca="1">'[8]Total Distance Tables'!K63</f>
        <v>207.87122626273973</v>
      </c>
    </row>
    <row r="74" spans="3:17" ht="15.5" x14ac:dyDescent="0.35">
      <c r="C74" s="24" t="s">
        <v>6</v>
      </c>
      <c r="D74" s="55">
        <f ca="1">'[8]Total Distance Tables'!$B$74</f>
        <v>656.25872372000003</v>
      </c>
      <c r="E74" s="56">
        <f t="shared" ca="1" si="10"/>
        <v>663.97782694900957</v>
      </c>
      <c r="F74" s="56">
        <f t="shared" ca="1" si="11"/>
        <v>671.6969301780191</v>
      </c>
      <c r="G74" s="56">
        <f t="shared" ca="1" si="12"/>
        <v>679.41603340702864</v>
      </c>
      <c r="H74" s="56">
        <f t="shared" ca="1" si="13"/>
        <v>687.13513663603817</v>
      </c>
      <c r="I74" s="56">
        <f ca="1">'[8]Total Distance Tables'!C74</f>
        <v>694.8542398650477</v>
      </c>
      <c r="J74" s="56">
        <f ca="1">'[8]Total Distance Tables'!D74</f>
        <v>717.69784779714576</v>
      </c>
      <c r="K74" s="56">
        <f ca="1">'[8]Total Distance Tables'!E74</f>
        <v>662.53045966396667</v>
      </c>
      <c r="L74" s="56">
        <f ca="1">'[8]Total Distance Tables'!F74</f>
        <v>599.53860943691257</v>
      </c>
      <c r="M74" s="56">
        <f ca="1">'[8]Total Distance Tables'!G74</f>
        <v>530.32551805889454</v>
      </c>
      <c r="N74" s="56">
        <f ca="1">'[8]Total Distance Tables'!H74</f>
        <v>457.50117604783873</v>
      </c>
      <c r="O74" s="56">
        <f ca="1">'[8]Total Distance Tables'!I74</f>
        <v>389.68509876862339</v>
      </c>
      <c r="P74" s="56">
        <f ca="1">'[8]Total Distance Tables'!J74</f>
        <v>317.76881188732256</v>
      </c>
      <c r="Q74" s="57">
        <f ca="1">'[8]Total Distance Tables'!K74</f>
        <v>242.51304020974874</v>
      </c>
    </row>
    <row r="75" spans="3:17" ht="15.5" x14ac:dyDescent="0.35">
      <c r="C75" s="24" t="s">
        <v>7</v>
      </c>
      <c r="D75" s="55">
        <f ca="1">'[8]Total Distance Tables'!$B$85</f>
        <v>885.65568203999999</v>
      </c>
      <c r="E75" s="56">
        <f t="shared" ca="1" si="10"/>
        <v>892.39777408603754</v>
      </c>
      <c r="F75" s="56">
        <f t="shared" ca="1" si="11"/>
        <v>899.13986613207487</v>
      </c>
      <c r="G75" s="56">
        <f t="shared" ca="1" si="12"/>
        <v>905.88195817811243</v>
      </c>
      <c r="H75" s="56">
        <f t="shared" ca="1" si="13"/>
        <v>912.62405022414987</v>
      </c>
      <c r="I75" s="56">
        <f ca="1">'[8]Total Distance Tables'!C85</f>
        <v>919.36614227018731</v>
      </c>
      <c r="J75" s="56">
        <f ca="1">'[8]Total Distance Tables'!D85</f>
        <v>929.47564254195913</v>
      </c>
      <c r="K75" s="56">
        <f ca="1">'[8]Total Distance Tables'!E85</f>
        <v>842.538755797166</v>
      </c>
      <c r="L75" s="56">
        <f ca="1">'[8]Total Distance Tables'!F85</f>
        <v>747.95160296728818</v>
      </c>
      <c r="M75" s="56">
        <f ca="1">'[8]Total Distance Tables'!G85</f>
        <v>648.69077347662369</v>
      </c>
      <c r="N75" s="56">
        <f ca="1">'[8]Total Distance Tables'!H85</f>
        <v>548.04098938403376</v>
      </c>
      <c r="O75" s="56">
        <f ca="1">'[8]Total Distance Tables'!I85</f>
        <v>457.70754501317555</v>
      </c>
      <c r="P75" s="56">
        <f ca="1">'[8]Total Distance Tables'!J85</f>
        <v>366.01218693221551</v>
      </c>
      <c r="Q75" s="57">
        <f ca="1">'[8]Total Distance Tables'!K85</f>
        <v>273.9643210252093</v>
      </c>
    </row>
    <row r="76" spans="3:17" ht="15.5" x14ac:dyDescent="0.35">
      <c r="C76" s="24" t="s">
        <v>8</v>
      </c>
      <c r="D76" s="55">
        <f ca="1">'[8]Total Distance Tables'!$B$96</f>
        <v>2005.8850408000001</v>
      </c>
      <c r="E76" s="56">
        <f t="shared" ca="1" si="10"/>
        <v>2031.7858669173711</v>
      </c>
      <c r="F76" s="56">
        <f t="shared" ca="1" si="11"/>
        <v>2057.6866930347423</v>
      </c>
      <c r="G76" s="56">
        <f t="shared" ca="1" si="12"/>
        <v>2083.5875191521131</v>
      </c>
      <c r="H76" s="56">
        <f t="shared" ca="1" si="13"/>
        <v>2109.4883452694839</v>
      </c>
      <c r="I76" s="56">
        <f ca="1">'[8]Total Distance Tables'!C96</f>
        <v>2135.3891713868552</v>
      </c>
      <c r="J76" s="56">
        <f ca="1">'[8]Total Distance Tables'!D96</f>
        <v>2198.3340751746678</v>
      </c>
      <c r="K76" s="56">
        <f ca="1">'[8]Total Distance Tables'!E96</f>
        <v>2025.488811066597</v>
      </c>
      <c r="L76" s="56">
        <f ca="1">'[8]Total Distance Tables'!F96</f>
        <v>1830.3788933437843</v>
      </c>
      <c r="M76" s="56">
        <f ca="1">'[8]Total Distance Tables'!G96</f>
        <v>1615.5046183886536</v>
      </c>
      <c r="N76" s="56">
        <f ca="1">'[8]Total Distance Tables'!H96</f>
        <v>1388.6742641969142</v>
      </c>
      <c r="O76" s="56">
        <f ca="1">'[8]Total Distance Tables'!I96</f>
        <v>1180.5582009417421</v>
      </c>
      <c r="P76" s="56">
        <f ca="1">'[8]Total Distance Tables'!J96</f>
        <v>960.34699219567301</v>
      </c>
      <c r="Q76" s="57">
        <f ca="1">'[8]Total Distance Tables'!K96</f>
        <v>730.8010053248023</v>
      </c>
    </row>
    <row r="77" spans="3:17" ht="15.5" x14ac:dyDescent="0.35">
      <c r="C77" s="24" t="s">
        <v>9</v>
      </c>
      <c r="D77" s="55">
        <f ca="1">'[8]Total Distance Tables'!$B$107</f>
        <v>528.66856442999995</v>
      </c>
      <c r="E77" s="56">
        <f t="shared" ca="1" si="10"/>
        <v>531.54508521165053</v>
      </c>
      <c r="F77" s="56">
        <f t="shared" ca="1" si="11"/>
        <v>534.42160599330123</v>
      </c>
      <c r="G77" s="56">
        <f t="shared" ca="1" si="12"/>
        <v>537.29812677495181</v>
      </c>
      <c r="H77" s="56">
        <f t="shared" ca="1" si="13"/>
        <v>540.17464755660251</v>
      </c>
      <c r="I77" s="56">
        <f ca="1">'[8]Total Distance Tables'!C107</f>
        <v>543.05116833825309</v>
      </c>
      <c r="J77" s="56">
        <f ca="1">'[8]Total Distance Tables'!D107</f>
        <v>548.31806588058407</v>
      </c>
      <c r="K77" s="56">
        <f ca="1">'[8]Total Distance Tables'!E107</f>
        <v>497.02677825146037</v>
      </c>
      <c r="L77" s="56">
        <f ca="1">'[8]Total Distance Tables'!F107</f>
        <v>441.19197237388653</v>
      </c>
      <c r="M77" s="56">
        <f ca="1">'[8]Total Distance Tables'!G107</f>
        <v>382.3718226099532</v>
      </c>
      <c r="N77" s="56">
        <f ca="1">'[8]Total Distance Tables'!H107</f>
        <v>322.36386218507374</v>
      </c>
      <c r="O77" s="56">
        <f ca="1">'[8]Total Distance Tables'!I107</f>
        <v>268.52107836921709</v>
      </c>
      <c r="P77" s="56">
        <f ca="1">'[8]Total Distance Tables'!J107</f>
        <v>214.05255519224704</v>
      </c>
      <c r="Q77" s="57">
        <f ca="1">'[8]Total Distance Tables'!K107</f>
        <v>159.632950120749</v>
      </c>
    </row>
    <row r="78" spans="3:17" ht="15.5" x14ac:dyDescent="0.35">
      <c r="C78" s="24" t="s">
        <v>10</v>
      </c>
      <c r="D78" s="55">
        <f ca="1">'[8]Total Distance Tables'!$B$118</f>
        <v>160.37072223999999</v>
      </c>
      <c r="E78" s="56">
        <f t="shared" ca="1" si="10"/>
        <v>159.24252069628204</v>
      </c>
      <c r="F78" s="56">
        <f t="shared" ca="1" si="11"/>
        <v>158.11431915256412</v>
      </c>
      <c r="G78" s="56">
        <f t="shared" ca="1" si="12"/>
        <v>156.98611760884614</v>
      </c>
      <c r="H78" s="56">
        <f t="shared" ca="1" si="13"/>
        <v>155.85791606512822</v>
      </c>
      <c r="I78" s="56">
        <f ca="1">'[8]Total Distance Tables'!C118</f>
        <v>154.72971452141027</v>
      </c>
      <c r="J78" s="56">
        <f ca="1">'[8]Total Distance Tables'!D118</f>
        <v>151.7573282441839</v>
      </c>
      <c r="K78" s="56">
        <f ca="1">'[8]Total Distance Tables'!E118</f>
        <v>133.8447530895302</v>
      </c>
      <c r="L78" s="56">
        <f ca="1">'[8]Total Distance Tables'!F118</f>
        <v>115.65086821573007</v>
      </c>
      <c r="M78" s="56">
        <f ca="1">'[8]Total Distance Tables'!G118</f>
        <v>97.623569221018286</v>
      </c>
      <c r="N78" s="56">
        <f ca="1">'[8]Total Distance Tables'!H118</f>
        <v>80.375204551410221</v>
      </c>
      <c r="O78" s="56">
        <f ca="1">'[8]Total Distance Tables'!I118</f>
        <v>65.327673666147078</v>
      </c>
      <c r="P78" s="56">
        <f ca="1">'[8]Total Distance Tables'!J118</f>
        <v>50.811476518110531</v>
      </c>
      <c r="Q78" s="57">
        <f ca="1">'[8]Total Distance Tables'!K118</f>
        <v>36.971410899851016</v>
      </c>
    </row>
    <row r="79" spans="3:17" ht="15.5" x14ac:dyDescent="0.35">
      <c r="C79" s="24" t="s">
        <v>11</v>
      </c>
      <c r="D79" s="55">
        <f ca="1">'[8]Total Distance Tables'!$B$129</f>
        <v>2033.7115475000001</v>
      </c>
      <c r="E79" s="56">
        <f t="shared" ca="1" si="10"/>
        <v>2074.3002744037494</v>
      </c>
      <c r="F79" s="56">
        <f t="shared" ca="1" si="11"/>
        <v>2114.8890013074988</v>
      </c>
      <c r="G79" s="56">
        <f t="shared" ca="1" si="12"/>
        <v>2155.4777282112482</v>
      </c>
      <c r="H79" s="56">
        <f t="shared" ca="1" si="13"/>
        <v>2196.0664551149971</v>
      </c>
      <c r="I79" s="56">
        <f ca="1">'[8]Total Distance Tables'!C129</f>
        <v>2236.6551820187465</v>
      </c>
      <c r="J79" s="56">
        <f ca="1">'[8]Total Distance Tables'!D129</f>
        <v>2357.0156195367736</v>
      </c>
      <c r="K79" s="56">
        <f ca="1">'[8]Total Distance Tables'!E129</f>
        <v>2205.5250798257489</v>
      </c>
      <c r="L79" s="56">
        <f ca="1">'[8]Total Distance Tables'!F129</f>
        <v>2020.0174749512134</v>
      </c>
      <c r="M79" s="56">
        <f ca="1">'[8]Total Distance Tables'!G129</f>
        <v>1806.790773963249</v>
      </c>
      <c r="N79" s="56">
        <f ca="1">'[8]Total Distance Tables'!H129</f>
        <v>1574.10465798157</v>
      </c>
      <c r="O79" s="56">
        <f ca="1">'[8]Total Distance Tables'!I129</f>
        <v>1357.5594090431459</v>
      </c>
      <c r="P79" s="56">
        <f ca="1">'[8]Total Distance Tables'!J129</f>
        <v>1120.4937860932457</v>
      </c>
      <c r="Q79" s="57">
        <f ca="1">'[8]Total Distance Tables'!K129</f>
        <v>865.23625963038035</v>
      </c>
    </row>
    <row r="80" spans="3:17" ht="15.5" x14ac:dyDescent="0.35">
      <c r="C80" s="24" t="s">
        <v>12</v>
      </c>
      <c r="D80" s="55">
        <f ca="1">'[8]Total Distance Tables'!$B$140</f>
        <v>849.31688999999994</v>
      </c>
      <c r="E80" s="56">
        <f t="shared" ca="1" si="10"/>
        <v>865.85078576859553</v>
      </c>
      <c r="F80" s="56">
        <f t="shared" ca="1" si="11"/>
        <v>882.384681537191</v>
      </c>
      <c r="G80" s="56">
        <f t="shared" ca="1" si="12"/>
        <v>898.91857730578681</v>
      </c>
      <c r="H80" s="56">
        <f t="shared" ca="1" si="13"/>
        <v>915.45247307438228</v>
      </c>
      <c r="I80" s="56">
        <f ca="1">'[8]Total Distance Tables'!C140</f>
        <v>931.98636884297787</v>
      </c>
      <c r="J80" s="56">
        <f ca="1">'[8]Total Distance Tables'!D140</f>
        <v>980.99664487723646</v>
      </c>
      <c r="K80" s="56">
        <f ca="1">'[8]Total Distance Tables'!E140</f>
        <v>914.79527569287052</v>
      </c>
      <c r="L80" s="56">
        <f ca="1">'[8]Total Distance Tables'!F140</f>
        <v>835.28627508440195</v>
      </c>
      <c r="M80" s="56">
        <f ca="1">'[8]Total Distance Tables'!G140</f>
        <v>744.68165683058385</v>
      </c>
      <c r="N80" s="56">
        <f ca="1">'[8]Total Distance Tables'!H140</f>
        <v>646.97901625585803</v>
      </c>
      <c r="O80" s="56">
        <f ca="1">'[8]Total Distance Tables'!I140</f>
        <v>555.31470094816189</v>
      </c>
      <c r="P80" s="56">
        <f ca="1">'[8]Total Distance Tables'!J140</f>
        <v>456.13637425076604</v>
      </c>
      <c r="Q80" s="57">
        <f ca="1">'[8]Total Distance Tables'!K140</f>
        <v>350.51705270269804</v>
      </c>
    </row>
    <row r="81" spans="3:17" ht="16" thickBot="1" x14ac:dyDescent="0.4">
      <c r="C81" s="25" t="s">
        <v>13</v>
      </c>
      <c r="D81" s="58">
        <f ca="1">'[8]Total Distance Tables'!$B$151</f>
        <v>380.70733008000002</v>
      </c>
      <c r="E81" s="59">
        <f t="shared" ca="1" si="10"/>
        <v>381.6457195225729</v>
      </c>
      <c r="F81" s="59">
        <f t="shared" ca="1" si="11"/>
        <v>382.58410896514573</v>
      </c>
      <c r="G81" s="59">
        <f t="shared" ca="1" si="12"/>
        <v>383.52249840771861</v>
      </c>
      <c r="H81" s="59">
        <f t="shared" ca="1" si="13"/>
        <v>384.46088785029144</v>
      </c>
      <c r="I81" s="59">
        <f ca="1">'[8]Total Distance Tables'!C151</f>
        <v>385.39927729286433</v>
      </c>
      <c r="J81" s="59">
        <f ca="1">'[8]Total Distance Tables'!D151</f>
        <v>381.29426779437296</v>
      </c>
      <c r="K81" s="59">
        <f ca="1">'[8]Total Distance Tables'!E151</f>
        <v>339.94479050011523</v>
      </c>
      <c r="L81" s="59">
        <f ca="1">'[8]Total Distance Tables'!F151</f>
        <v>297.3101575972791</v>
      </c>
      <c r="M81" s="59">
        <f ca="1">'[8]Total Distance Tables'!G151</f>
        <v>254.14718386044913</v>
      </c>
      <c r="N81" s="59">
        <f ca="1">'[8]Total Distance Tables'!H151</f>
        <v>211.79418524077599</v>
      </c>
      <c r="O81" s="59">
        <f ca="1">'[8]Total Distance Tables'!I151</f>
        <v>174.32067042312784</v>
      </c>
      <c r="P81" s="59">
        <f ca="1">'[8]Total Distance Tables'!J151</f>
        <v>137.30085909555552</v>
      </c>
      <c r="Q81" s="60">
        <f ca="1">'[8]Total Distance Tables'!K151</f>
        <v>101.16661056897313</v>
      </c>
    </row>
    <row r="82" spans="3:17" ht="16.5" thickTop="1" thickBot="1" x14ac:dyDescent="0.4">
      <c r="C82" s="31" t="s">
        <v>24</v>
      </c>
      <c r="D82" s="61">
        <f t="shared" ref="D82:N82" ca="1" si="14">SUM(D68:D81)</f>
        <v>17104.323927279998</v>
      </c>
      <c r="E82" s="59">
        <f t="shared" ca="1" si="14"/>
        <v>17340.036558460441</v>
      </c>
      <c r="F82" s="59">
        <f t="shared" ca="1" si="14"/>
        <v>17575.749189640879</v>
      </c>
      <c r="G82" s="59">
        <f t="shared" ca="1" si="14"/>
        <v>17811.461820821325</v>
      </c>
      <c r="H82" s="59">
        <f t="shared" ca="1" si="14"/>
        <v>18047.174452001767</v>
      </c>
      <c r="I82" s="62">
        <f t="shared" ca="1" si="14"/>
        <v>18282.88708318221</v>
      </c>
      <c r="J82" s="62">
        <f t="shared" ca="1" si="14"/>
        <v>18825.58649208253</v>
      </c>
      <c r="K82" s="62">
        <f t="shared" ca="1" si="14"/>
        <v>17299.913441537479</v>
      </c>
      <c r="L82" s="62">
        <f t="shared" ca="1" si="14"/>
        <v>15627.256413513023</v>
      </c>
      <c r="M82" s="62">
        <f t="shared" ca="1" si="14"/>
        <v>13787.190332683282</v>
      </c>
      <c r="N82" s="62">
        <f t="shared" ca="1" si="14"/>
        <v>11850.364438197455</v>
      </c>
      <c r="O82" s="62">
        <f t="shared" ref="O82:Q82" ca="1" si="15">SUM(O68:O81)</f>
        <v>10072.487091593386</v>
      </c>
      <c r="P82" s="62">
        <f t="shared" ca="1" si="15"/>
        <v>8193.2394213876123</v>
      </c>
      <c r="Q82" s="63">
        <f t="shared" ca="1" si="15"/>
        <v>6234.0722277888326</v>
      </c>
    </row>
    <row r="83" spans="3:17" ht="16.5" thickTop="1" thickBot="1" x14ac:dyDescent="0.4">
      <c r="C83" s="8" t="s">
        <v>35</v>
      </c>
      <c r="D83" s="62">
        <f ca="1">'[8]Total Distance Tables'!$B$162</f>
        <v>17104.323927279998</v>
      </c>
      <c r="E83" s="62">
        <f ca="1">D83*4/5 + I83/5</f>
        <v>17340.036558460441</v>
      </c>
      <c r="F83" s="62">
        <f ca="1">D83*3/5+I83*2/5</f>
        <v>17575.749189640883</v>
      </c>
      <c r="G83" s="62">
        <f t="shared" ref="G83" ca="1" si="16">D83*2/5+I83*3/5</f>
        <v>17811.461820821321</v>
      </c>
      <c r="H83" s="62">
        <f t="shared" ref="H83" ca="1" si="17">D83*1/5+I83*4/5</f>
        <v>18047.174452001767</v>
      </c>
      <c r="I83" s="62">
        <f ca="1">'[8]Total Distance Tables'!C162</f>
        <v>18282.88708318221</v>
      </c>
      <c r="J83" s="62">
        <f ca="1">'[8]Total Distance Tables'!D162</f>
        <v>18825.58649208253</v>
      </c>
      <c r="K83" s="62">
        <f ca="1">'[8]Total Distance Tables'!E162</f>
        <v>17299.913441537479</v>
      </c>
      <c r="L83" s="62">
        <f ca="1">'[8]Total Distance Tables'!F162</f>
        <v>15627.256413513023</v>
      </c>
      <c r="M83" s="62">
        <f ca="1">'[8]Total Distance Tables'!G162</f>
        <v>13787.190332683282</v>
      </c>
      <c r="N83" s="62">
        <f ca="1">'[8]Total Distance Tables'!H162</f>
        <v>11850.364438197455</v>
      </c>
      <c r="O83" s="62">
        <f ca="1">'[8]Total Distance Tables'!I162</f>
        <v>10072.487091593386</v>
      </c>
      <c r="P83" s="62">
        <f ca="1">'[8]Total Distance Tables'!J162</f>
        <v>8193.2394213876123</v>
      </c>
      <c r="Q83" s="63">
        <f ca="1">'[8]Total Distance Tables'!K162</f>
        <v>6234.0722277888326</v>
      </c>
    </row>
    <row r="84" spans="3:17" ht="13" thickTop="1" x14ac:dyDescent="0.25">
      <c r="C84" s="43"/>
      <c r="D84" s="43"/>
      <c r="E84" s="53"/>
      <c r="F84" s="53"/>
      <c r="G84" s="43"/>
      <c r="H84" s="43"/>
      <c r="I84" s="43"/>
      <c r="J84" s="43"/>
      <c r="K84" s="43"/>
      <c r="L84" s="43"/>
    </row>
    <row r="86" spans="3:17" ht="15.5" x14ac:dyDescent="0.35">
      <c r="C86" s="50" t="s">
        <v>68</v>
      </c>
      <c r="D86" s="50"/>
      <c r="E86" s="50"/>
      <c r="F86" s="51">
        <f>SUM('[3]14_15 fleet'!$D$303:$D$317)/SUM('[3]14_15 fleet'!$D$288:$D$317)</f>
        <v>0.84599160830218945</v>
      </c>
      <c r="H86" s="50" t="s">
        <v>67</v>
      </c>
      <c r="I86" s="50"/>
      <c r="J86" s="50"/>
      <c r="K86" s="50"/>
      <c r="L86" s="50"/>
      <c r="M86" s="51">
        <f ca="1">D61*1000000/(SUM('[1]12_13 fleet'!$D$286:$D$315)+SUM('[1]12_13 fleet'!$D$406:$D$435))</f>
        <v>0.82460820152819136</v>
      </c>
    </row>
    <row r="87" spans="3:17" x14ac:dyDescent="0.25">
      <c r="E87" s="51"/>
    </row>
    <row r="88" spans="3:17" ht="15.5" x14ac:dyDescent="0.35">
      <c r="C88" s="50" t="s">
        <v>69</v>
      </c>
      <c r="D88" s="50"/>
      <c r="E88" s="50"/>
      <c r="F88" s="51">
        <f>SUM('[3]14_15 fleet'!$D$423:$D$437)/SUM('[3]14_15 fleet'!$D$408:$D$437)</f>
        <v>0.48516194978982785</v>
      </c>
    </row>
    <row r="90" spans="3:17" x14ac:dyDescent="0.25">
      <c r="E90" s="51"/>
    </row>
    <row r="91" spans="3:17" ht="13" thickBot="1" x14ac:dyDescent="0.3"/>
    <row r="92" spans="3:17" ht="16" thickTop="1" x14ac:dyDescent="0.35">
      <c r="C92" s="32" t="s">
        <v>53</v>
      </c>
      <c r="D92" s="34"/>
      <c r="E92" s="33"/>
      <c r="F92" s="33"/>
      <c r="G92" s="33"/>
      <c r="H92" s="33"/>
      <c r="I92" s="34"/>
      <c r="J92" s="34"/>
      <c r="K92" s="34"/>
      <c r="L92" s="34"/>
      <c r="M92" s="34"/>
      <c r="N92" s="34"/>
      <c r="O92" s="34"/>
      <c r="P92" s="34"/>
      <c r="Q92" s="35"/>
    </row>
    <row r="93" spans="3:17" ht="13.5" thickBot="1" x14ac:dyDescent="0.35">
      <c r="C93" s="18"/>
      <c r="D93" s="65" t="s">
        <v>25</v>
      </c>
      <c r="E93" s="37" t="s">
        <v>37</v>
      </c>
      <c r="F93" s="37" t="s">
        <v>38</v>
      </c>
      <c r="G93" s="37" t="s">
        <v>177</v>
      </c>
      <c r="H93" s="37" t="s">
        <v>178</v>
      </c>
      <c r="I93" s="65" t="s">
        <v>26</v>
      </c>
      <c r="J93" s="65" t="s">
        <v>27</v>
      </c>
      <c r="K93" s="65" t="s">
        <v>28</v>
      </c>
      <c r="L93" s="65" t="s">
        <v>29</v>
      </c>
      <c r="M93" s="65" t="s">
        <v>30</v>
      </c>
      <c r="N93" s="65" t="s">
        <v>31</v>
      </c>
      <c r="O93" s="37" t="s">
        <v>174</v>
      </c>
      <c r="P93" s="37" t="s">
        <v>175</v>
      </c>
      <c r="Q93" s="38" t="s">
        <v>176</v>
      </c>
    </row>
    <row r="94" spans="3:17" ht="14" thickTop="1" thickBot="1" x14ac:dyDescent="0.35">
      <c r="C94" s="70"/>
      <c r="D94" s="71" t="s">
        <v>39</v>
      </c>
      <c r="E94" s="65" t="s">
        <v>39</v>
      </c>
      <c r="F94" s="65" t="s">
        <v>39</v>
      </c>
      <c r="G94" s="65" t="s">
        <v>39</v>
      </c>
      <c r="H94" s="65" t="s">
        <v>39</v>
      </c>
      <c r="I94" s="71" t="s">
        <v>39</v>
      </c>
      <c r="J94" s="71" t="s">
        <v>32</v>
      </c>
      <c r="K94" s="71" t="s">
        <v>32</v>
      </c>
      <c r="L94" s="71" t="s">
        <v>32</v>
      </c>
      <c r="M94" s="71" t="s">
        <v>32</v>
      </c>
      <c r="N94" s="71" t="s">
        <v>32</v>
      </c>
      <c r="O94" s="65" t="s">
        <v>32</v>
      </c>
      <c r="P94" s="65" t="s">
        <v>32</v>
      </c>
      <c r="Q94" s="66" t="s">
        <v>32</v>
      </c>
    </row>
    <row r="95" spans="3:17" ht="16" thickTop="1" x14ac:dyDescent="0.35">
      <c r="C95" s="24" t="s">
        <v>0</v>
      </c>
      <c r="D95" s="39">
        <f>'Car+SUV'!D28+'Van+Ute'!D28</f>
        <v>112752.69929219302</v>
      </c>
      <c r="E95" s="40">
        <f>'Car+SUV'!E28+'Van+Ute'!E28</f>
        <v>115184.38005796474</v>
      </c>
      <c r="F95" s="40">
        <f>'Car+SUV'!F28+'Van+Ute'!F28</f>
        <v>117124.69622642273</v>
      </c>
      <c r="G95" s="40">
        <f>'Car+SUV'!G28+'Van+Ute'!G28</f>
        <v>121836.81549470441</v>
      </c>
      <c r="H95" s="40">
        <f>'Car+SUV'!H28+'Van+Ute'!H28</f>
        <v>127884.77898514902</v>
      </c>
      <c r="I95" s="40">
        <f>'Car+SUV'!I28+'Van+Ute'!I28</f>
        <v>135757.41577295045</v>
      </c>
      <c r="J95" s="40">
        <f ca="1">'Car+SUV'!J28+'Van+Ute'!J28</f>
        <v>147596.07152904812</v>
      </c>
      <c r="K95" s="40">
        <f ca="1">'Car+SUV'!K28+'Van+Ute'!K28</f>
        <v>148998.13766701662</v>
      </c>
      <c r="L95" s="40">
        <f ca="1">'Car+SUV'!L28+'Van+Ute'!L28</f>
        <v>148595.75400843829</v>
      </c>
      <c r="M95" s="40">
        <f ca="1">'Car+SUV'!M28+'Van+Ute'!M28</f>
        <v>146239.28392334975</v>
      </c>
      <c r="N95" s="40">
        <f ca="1">'Car+SUV'!N28+'Van+Ute'!N28</f>
        <v>143198.26444297735</v>
      </c>
      <c r="O95" s="53">
        <f ca="1">'Car+SUV'!O28+'Van+Ute'!O28</f>
        <v>137994.40173851623</v>
      </c>
      <c r="P95" s="53">
        <f ca="1">'Car+SUV'!P28+'Van+Ute'!P28</f>
        <v>132268.75797187354</v>
      </c>
      <c r="Q95" s="54">
        <f ca="1">'Car+SUV'!Q28+'Van+Ute'!Q28</f>
        <v>126071.98606703676</v>
      </c>
    </row>
    <row r="96" spans="3:17" ht="15.5" x14ac:dyDescent="0.35">
      <c r="C96" s="24" t="s">
        <v>1</v>
      </c>
      <c r="D96" s="42">
        <f>'Car+SUV'!D29+'Van+Ute'!D29</f>
        <v>995566.22524327319</v>
      </c>
      <c r="E96" s="43">
        <f>'Car+SUV'!E29+'Van+Ute'!E29</f>
        <v>1031177.0909653383</v>
      </c>
      <c r="F96" s="43">
        <f>'Car+SUV'!F29+'Van+Ute'!F29</f>
        <v>1091473.5112717948</v>
      </c>
      <c r="G96" s="43">
        <f>'Car+SUV'!G29+'Van+Ute'!G29</f>
        <v>1145232.2839828944</v>
      </c>
      <c r="H96" s="43">
        <f>'Car+SUV'!H29+'Van+Ute'!H29</f>
        <v>1202277.159020253</v>
      </c>
      <c r="I96" s="43">
        <f>'Car+SUV'!I29+'Van+Ute'!I29</f>
        <v>1218183.2687648938</v>
      </c>
      <c r="J96" s="43">
        <f ca="1">'Car+SUV'!J29+'Van+Ute'!J29</f>
        <v>1351846.9356515387</v>
      </c>
      <c r="K96" s="43">
        <f ca="1">'Car+SUV'!K29+'Van+Ute'!K29</f>
        <v>1386468.8815740871</v>
      </c>
      <c r="L96" s="43">
        <f ca="1">'Car+SUV'!L29+'Van+Ute'!L29</f>
        <v>1405218.5702524034</v>
      </c>
      <c r="M96" s="43">
        <f ca="1">'Car+SUV'!M29+'Van+Ute'!M29</f>
        <v>1408942.876943076</v>
      </c>
      <c r="N96" s="43">
        <f ca="1">'Car+SUV'!N29+'Van+Ute'!N29</f>
        <v>1406668.8245349736</v>
      </c>
      <c r="O96" s="56">
        <f ca="1">'Car+SUV'!O29+'Van+Ute'!O29</f>
        <v>1386422.0694929445</v>
      </c>
      <c r="P96" s="56">
        <f ca="1">'Car+SUV'!P29+'Van+Ute'!P29</f>
        <v>1359161.0361207065</v>
      </c>
      <c r="Q96" s="57">
        <f ca="1">'Car+SUV'!Q29+'Van+Ute'!Q29</f>
        <v>1324358.6044094984</v>
      </c>
    </row>
    <row r="97" spans="3:17" ht="15.5" x14ac:dyDescent="0.35">
      <c r="C97" s="24" t="s">
        <v>2</v>
      </c>
      <c r="D97" s="42">
        <f>'Car+SUV'!D30+'Van+Ute'!D30</f>
        <v>301335.92548360309</v>
      </c>
      <c r="E97" s="43">
        <f>'Car+SUV'!E30+'Van+Ute'!E30</f>
        <v>312551.14801889053</v>
      </c>
      <c r="F97" s="43">
        <f>'Car+SUV'!F30+'Van+Ute'!F30</f>
        <v>323022.69023885415</v>
      </c>
      <c r="G97" s="43">
        <f>'Car+SUV'!G30+'Van+Ute'!G30</f>
        <v>336918.61004767567</v>
      </c>
      <c r="H97" s="43">
        <f>'Car+SUV'!H30+'Van+Ute'!H30</f>
        <v>351117.84199294203</v>
      </c>
      <c r="I97" s="43">
        <f>'Car+SUV'!I30+'Van+Ute'!I30</f>
        <v>351494.16341864987</v>
      </c>
      <c r="J97" s="43">
        <f ca="1">'Car+SUV'!J30+'Van+Ute'!J30</f>
        <v>383998.26052063418</v>
      </c>
      <c r="K97" s="43">
        <f ca="1">'Car+SUV'!K30+'Van+Ute'!K30</f>
        <v>392036.95292458968</v>
      </c>
      <c r="L97" s="43">
        <f ca="1">'Car+SUV'!L30+'Van+Ute'!L30</f>
        <v>395683.41369584465</v>
      </c>
      <c r="M97" s="43">
        <f ca="1">'Car+SUV'!M30+'Van+Ute'!M30</f>
        <v>394449.49605881487</v>
      </c>
      <c r="N97" s="43">
        <f ca="1">'Car+SUV'!N30+'Van+Ute'!N30</f>
        <v>392023.37097574235</v>
      </c>
      <c r="O97" s="56">
        <f ca="1">'Car+SUV'!O30+'Van+Ute'!O30</f>
        <v>384238.46945518884</v>
      </c>
      <c r="P97" s="56">
        <f ca="1">'Car+SUV'!P30+'Van+Ute'!P30</f>
        <v>374918.1181557707</v>
      </c>
      <c r="Q97" s="57">
        <f ca="1">'Car+SUV'!Q30+'Van+Ute'!Q30</f>
        <v>364115.76733105991</v>
      </c>
    </row>
    <row r="98" spans="3:17" ht="15.5" x14ac:dyDescent="0.35">
      <c r="C98" s="24" t="s">
        <v>3</v>
      </c>
      <c r="D98" s="42">
        <f>'Car+SUV'!D31+'Van+Ute'!D31</f>
        <v>229203.5470307747</v>
      </c>
      <c r="E98" s="43">
        <f>'Car+SUV'!E31+'Van+Ute'!E31</f>
        <v>235088.14150503449</v>
      </c>
      <c r="F98" s="43">
        <f>'Car+SUV'!F31+'Van+Ute'!F31</f>
        <v>241624.06887127433</v>
      </c>
      <c r="G98" s="43">
        <f>'Car+SUV'!G31+'Van+Ute'!G31</f>
        <v>253173.76943029795</v>
      </c>
      <c r="H98" s="43">
        <f>'Car+SUV'!H31+'Van+Ute'!H31</f>
        <v>265852.81265281246</v>
      </c>
      <c r="I98" s="43">
        <f>'Car+SUV'!I31+'Van+Ute'!I31</f>
        <v>272665.60217069916</v>
      </c>
      <c r="J98" s="43">
        <f ca="1">'Car+SUV'!J31+'Van+Ute'!J31</f>
        <v>295487.40788641985</v>
      </c>
      <c r="K98" s="43">
        <f ca="1">'Car+SUV'!K31+'Van+Ute'!K31</f>
        <v>298116.34360865725</v>
      </c>
      <c r="L98" s="43">
        <f ca="1">'Car+SUV'!L31+'Van+Ute'!L31</f>
        <v>297396.95423671324</v>
      </c>
      <c r="M98" s="43">
        <f ca="1">'Car+SUV'!M31+'Van+Ute'!M31</f>
        <v>293183.03067274042</v>
      </c>
      <c r="N98" s="43">
        <f ca="1">'Car+SUV'!N31+'Van+Ute'!N31</f>
        <v>288059.33086482598</v>
      </c>
      <c r="O98" s="56">
        <f ca="1">'Car+SUV'!O31+'Van+Ute'!O31</f>
        <v>278032.71055256878</v>
      </c>
      <c r="P98" s="56">
        <f ca="1">'Car+SUV'!P31+'Van+Ute'!P31</f>
        <v>266954.94478768064</v>
      </c>
      <c r="Q98" s="57">
        <f ca="1">'Car+SUV'!Q31+'Van+Ute'!Q31</f>
        <v>254914.34852488519</v>
      </c>
    </row>
    <row r="99" spans="3:17" ht="15.5" x14ac:dyDescent="0.35">
      <c r="C99" s="24" t="s">
        <v>4</v>
      </c>
      <c r="D99" s="42">
        <f>'Car+SUV'!D32+'Van+Ute'!D32</f>
        <v>29936.944476542787</v>
      </c>
      <c r="E99" s="43">
        <f>'Car+SUV'!E32+'Van+Ute'!E32</f>
        <v>30366.080389235482</v>
      </c>
      <c r="F99" s="43">
        <f>'Car+SUV'!F32+'Van+Ute'!F32</f>
        <v>30881.083761686205</v>
      </c>
      <c r="G99" s="43">
        <f>'Car+SUV'!G32+'Van+Ute'!G32</f>
        <v>31397.51957625628</v>
      </c>
      <c r="H99" s="43">
        <f>'Car+SUV'!H32+'Van+Ute'!H32</f>
        <v>32183.94888916834</v>
      </c>
      <c r="I99" s="43">
        <f>'Car+SUV'!I32+'Van+Ute'!I32</f>
        <v>31684.496142738786</v>
      </c>
      <c r="J99" s="43">
        <f ca="1">'Car+SUV'!J32+'Van+Ute'!J32</f>
        <v>33242.004776403672</v>
      </c>
      <c r="K99" s="43">
        <f ca="1">'Car+SUV'!K32+'Van+Ute'!K32</f>
        <v>33000.509698285459</v>
      </c>
      <c r="L99" s="43">
        <f ca="1">'Car+SUV'!L32+'Van+Ute'!L32</f>
        <v>32223.516094007107</v>
      </c>
      <c r="M99" s="43">
        <f ca="1">'Car+SUV'!M32+'Van+Ute'!M32</f>
        <v>31062.271187971997</v>
      </c>
      <c r="N99" s="43">
        <f ca="1">'Car+SUV'!N32+'Van+Ute'!N32</f>
        <v>29808.594529367394</v>
      </c>
      <c r="O99" s="56">
        <f ca="1">'Car+SUV'!O32+'Van+Ute'!O32</f>
        <v>27971.324205761695</v>
      </c>
      <c r="P99" s="56">
        <f ca="1">'Car+SUV'!P32+'Van+Ute'!P32</f>
        <v>26086.945950186582</v>
      </c>
      <c r="Q99" s="57">
        <f ca="1">'Car+SUV'!Q32+'Van+Ute'!Q32</f>
        <v>24170.746673035261</v>
      </c>
    </row>
    <row r="100" spans="3:17" ht="15.5" x14ac:dyDescent="0.35">
      <c r="C100" s="24" t="s">
        <v>5</v>
      </c>
      <c r="D100" s="42">
        <f>'Car+SUV'!D33+'Van+Ute'!D33</f>
        <v>113259.61475572419</v>
      </c>
      <c r="E100" s="43">
        <f>'Car+SUV'!E33+'Van+Ute'!E33</f>
        <v>115299.06151998522</v>
      </c>
      <c r="F100" s="43">
        <f>'Car+SUV'!F33+'Van+Ute'!F33</f>
        <v>117425.18797515266</v>
      </c>
      <c r="G100" s="43">
        <f>'Car+SUV'!G33+'Van+Ute'!G33</f>
        <v>121879.37021704436</v>
      </c>
      <c r="H100" s="43">
        <f>'Car+SUV'!H33+'Van+Ute'!H33</f>
        <v>127265.52863082348</v>
      </c>
      <c r="I100" s="43">
        <f>'Car+SUV'!I33+'Van+Ute'!I33</f>
        <v>126775.39980793737</v>
      </c>
      <c r="J100" s="43">
        <f ca="1">'Car+SUV'!J33+'Van+Ute'!J33</f>
        <v>136924.47506036726</v>
      </c>
      <c r="K100" s="43">
        <f ca="1">'Car+SUV'!K33+'Van+Ute'!K33</f>
        <v>137427.8292120219</v>
      </c>
      <c r="L100" s="43">
        <f ca="1">'Car+SUV'!L33+'Van+Ute'!L33</f>
        <v>136621.67996076032</v>
      </c>
      <c r="M100" s="43">
        <f ca="1">'Car+SUV'!M33+'Van+Ute'!M33</f>
        <v>134247.01594729541</v>
      </c>
      <c r="N100" s="43">
        <f ca="1">'Car+SUV'!N33+'Van+Ute'!N33</f>
        <v>131533.52531001242</v>
      </c>
      <c r="O100" s="56">
        <f ca="1">'Car+SUV'!O33+'Van+Ute'!O33</f>
        <v>127062.11669807028</v>
      </c>
      <c r="P100" s="56">
        <f ca="1">'Car+SUV'!P33+'Van+Ute'!P33</f>
        <v>122165.05516986732</v>
      </c>
      <c r="Q100" s="57">
        <f ca="1">'Car+SUV'!Q33+'Van+Ute'!Q33</f>
        <v>116864.24598888188</v>
      </c>
    </row>
    <row r="101" spans="3:17" ht="15.5" x14ac:dyDescent="0.35">
      <c r="C101" s="24" t="s">
        <v>6</v>
      </c>
      <c r="D101" s="42">
        <f>'Car+SUV'!D34+'Van+Ute'!D34</f>
        <v>83651.79807064432</v>
      </c>
      <c r="E101" s="43">
        <f>'Car+SUV'!E34+'Van+Ute'!E34</f>
        <v>86118.668651656146</v>
      </c>
      <c r="F101" s="43">
        <f>'Car+SUV'!F34+'Van+Ute'!F34</f>
        <v>87525.038269808429</v>
      </c>
      <c r="G101" s="43">
        <f>'Car+SUV'!G34+'Van+Ute'!G34</f>
        <v>89263.607872098364</v>
      </c>
      <c r="H101" s="43">
        <f>'Car+SUV'!H34+'Van+Ute'!H34</f>
        <v>91126.15847179055</v>
      </c>
      <c r="I101" s="43">
        <f>'Car+SUV'!I34+'Van+Ute'!I34</f>
        <v>93155.584671651101</v>
      </c>
      <c r="J101" s="43">
        <f ca="1">'Car+SUV'!J34+'Van+Ute'!J34</f>
        <v>101634.09429150383</v>
      </c>
      <c r="K101" s="43">
        <f ca="1">'Car+SUV'!K34+'Van+Ute'!K34</f>
        <v>102105.23113021873</v>
      </c>
      <c r="L101" s="43">
        <f ca="1">'Car+SUV'!L34+'Van+Ute'!L34</f>
        <v>100941.49679474848</v>
      </c>
      <c r="M101" s="43">
        <f ca="1">'Car+SUV'!M34+'Van+Ute'!M34</f>
        <v>98889.60331162659</v>
      </c>
      <c r="N101" s="43">
        <f ca="1">'Car+SUV'!N34+'Van+Ute'!N34</f>
        <v>96399.955440937105</v>
      </c>
      <c r="O101" s="56">
        <f ca="1">'Car+SUV'!O34+'Van+Ute'!O34</f>
        <v>92263.995176819619</v>
      </c>
      <c r="P101" s="56">
        <f ca="1">'Car+SUV'!P34+'Van+Ute'!P34</f>
        <v>87680.828737843156</v>
      </c>
      <c r="Q101" s="57">
        <f ca="1">'Car+SUV'!Q34+'Van+Ute'!Q34</f>
        <v>82679.053268207033</v>
      </c>
    </row>
    <row r="102" spans="3:17" ht="15.5" x14ac:dyDescent="0.35">
      <c r="C102" s="24" t="s">
        <v>7</v>
      </c>
      <c r="D102" s="42">
        <f>'Car+SUV'!D35+'Van+Ute'!D35</f>
        <v>167620.43201958662</v>
      </c>
      <c r="E102" s="43">
        <f>'Car+SUV'!E35+'Van+Ute'!E35</f>
        <v>170464.93587730994</v>
      </c>
      <c r="F102" s="43">
        <f>'Car+SUV'!F35+'Van+Ute'!F35</f>
        <v>174785.10805437132</v>
      </c>
      <c r="G102" s="43">
        <f>'Car+SUV'!G35+'Van+Ute'!G35</f>
        <v>180424.03776717087</v>
      </c>
      <c r="H102" s="43">
        <f>'Car+SUV'!H35+'Van+Ute'!H35</f>
        <v>186583.9222405995</v>
      </c>
      <c r="I102" s="43">
        <f>'Car+SUV'!I35+'Van+Ute'!I35</f>
        <v>187010.24269655289</v>
      </c>
      <c r="J102" s="43">
        <f ca="1">'Car+SUV'!J35+'Van+Ute'!J35</f>
        <v>198942.21099146656</v>
      </c>
      <c r="K102" s="43">
        <f ca="1">'Car+SUV'!K35+'Van+Ute'!K35</f>
        <v>196466.3976950486</v>
      </c>
      <c r="L102" s="43">
        <f ca="1">'Car+SUV'!L35+'Van+Ute'!L35</f>
        <v>192337.37406758979</v>
      </c>
      <c r="M102" s="43">
        <f ca="1">'Car+SUV'!M35+'Van+Ute'!M35</f>
        <v>185728.68935010725</v>
      </c>
      <c r="N102" s="43">
        <f ca="1">'Car+SUV'!N35+'Van+Ute'!N35</f>
        <v>178691.37900099505</v>
      </c>
      <c r="O102" s="56">
        <f ca="1">'Car+SUV'!O35+'Van+Ute'!O35</f>
        <v>169154.09017754174</v>
      </c>
      <c r="P102" s="56">
        <f ca="1">'Car+SUV'!P35+'Van+Ute'!P35</f>
        <v>159200.59636668349</v>
      </c>
      <c r="Q102" s="57">
        <f ca="1">'Car+SUV'!Q35+'Van+Ute'!Q35</f>
        <v>148905.76401481865</v>
      </c>
    </row>
    <row r="103" spans="3:17" ht="15.5" x14ac:dyDescent="0.35">
      <c r="C103" s="24" t="s">
        <v>8</v>
      </c>
      <c r="D103" s="42">
        <f>'Car+SUV'!D36+'Van+Ute'!D36</f>
        <v>302497.18708853488</v>
      </c>
      <c r="E103" s="43">
        <f>'Car+SUV'!E36+'Van+Ute'!E36</f>
        <v>308393.37810258631</v>
      </c>
      <c r="F103" s="43">
        <f>'Car+SUV'!F36+'Van+Ute'!F36</f>
        <v>315790.27345002093</v>
      </c>
      <c r="G103" s="43">
        <f>'Car+SUV'!G36+'Van+Ute'!G36</f>
        <v>325495.73169066105</v>
      </c>
      <c r="H103" s="43">
        <f>'Car+SUV'!H36+'Van+Ute'!H36</f>
        <v>337334.77145518031</v>
      </c>
      <c r="I103" s="43">
        <f>'Car+SUV'!I36+'Van+Ute'!I36</f>
        <v>345463.52720378374</v>
      </c>
      <c r="J103" s="43">
        <f ca="1">'Car+SUV'!J36+'Van+Ute'!J36</f>
        <v>376345.96276345162</v>
      </c>
      <c r="K103" s="43">
        <f ca="1">'Car+SUV'!K36+'Van+Ute'!K36</f>
        <v>379579.07623041765</v>
      </c>
      <c r="L103" s="43">
        <f ca="1">'Car+SUV'!L36+'Van+Ute'!L36</f>
        <v>377369.946961276</v>
      </c>
      <c r="M103" s="43">
        <f ca="1">'Car+SUV'!M36+'Van+Ute'!M36</f>
        <v>371775.98981148988</v>
      </c>
      <c r="N103" s="43">
        <f ca="1">'Car+SUV'!N36+'Van+Ute'!N36</f>
        <v>364579.52956192684</v>
      </c>
      <c r="O103" s="56">
        <f ca="1">'Car+SUV'!O36+'Van+Ute'!O36</f>
        <v>352112.34219880245</v>
      </c>
      <c r="P103" s="56">
        <f ca="1">'Car+SUV'!P36+'Van+Ute'!P36</f>
        <v>337955.11778626655</v>
      </c>
      <c r="Q103" s="57">
        <f ca="1">'Car+SUV'!Q36+'Van+Ute'!Q36</f>
        <v>322171.9524706424</v>
      </c>
    </row>
    <row r="104" spans="3:17" ht="15.5" x14ac:dyDescent="0.35">
      <c r="C104" s="24" t="s">
        <v>9</v>
      </c>
      <c r="D104" s="42">
        <f>'Car+SUV'!D37+'Van+Ute'!D37</f>
        <v>121043.33543309773</v>
      </c>
      <c r="E104" s="43">
        <f>'Car+SUV'!E37+'Van+Ute'!E37</f>
        <v>124477.19353914029</v>
      </c>
      <c r="F104" s="43">
        <f>'Car+SUV'!F37+'Van+Ute'!F37</f>
        <v>129034.48687989885</v>
      </c>
      <c r="G104" s="43">
        <f>'Car+SUV'!G37+'Van+Ute'!G37</f>
        <v>137506.99209400272</v>
      </c>
      <c r="H104" s="43">
        <f>'Car+SUV'!H37+'Van+Ute'!H37</f>
        <v>146096.83262669892</v>
      </c>
      <c r="I104" s="43">
        <f>'Car+SUV'!I37+'Van+Ute'!I37</f>
        <v>152495.80354819004</v>
      </c>
      <c r="J104" s="43">
        <f ca="1">'Car+SUV'!J37+'Van+Ute'!J37</f>
        <v>162636.21787193956</v>
      </c>
      <c r="K104" s="43">
        <f ca="1">'Car+SUV'!K37+'Van+Ute'!K37</f>
        <v>162057.51812921645</v>
      </c>
      <c r="L104" s="43">
        <f ca="1">'Car+SUV'!L37+'Van+Ute'!L37</f>
        <v>159117.34197754224</v>
      </c>
      <c r="M104" s="43">
        <f ca="1">'Car+SUV'!M37+'Van+Ute'!M37</f>
        <v>154019.63256000241</v>
      </c>
      <c r="N104" s="43">
        <f ca="1">'Car+SUV'!N37+'Van+Ute'!N37</f>
        <v>148672.6871350483</v>
      </c>
      <c r="O104" s="56">
        <f ca="1">'Car+SUV'!O37+'Van+Ute'!O37</f>
        <v>141833.73109862406</v>
      </c>
      <c r="P104" s="56">
        <f ca="1">'Car+SUV'!P37+'Van+Ute'!P37</f>
        <v>134615.27394071771</v>
      </c>
      <c r="Q104" s="57">
        <f ca="1">'Car+SUV'!Q37+'Van+Ute'!Q37</f>
        <v>127054.95367095708</v>
      </c>
    </row>
    <row r="105" spans="3:17" ht="15.5" x14ac:dyDescent="0.35">
      <c r="C105" s="24" t="s">
        <v>10</v>
      </c>
      <c r="D105" s="42">
        <f>'Car+SUV'!D38+'Van+Ute'!D38</f>
        <v>26272.420338552954</v>
      </c>
      <c r="E105" s="43">
        <f>'Car+SUV'!E38+'Van+Ute'!E38</f>
        <v>26450.482710432629</v>
      </c>
      <c r="F105" s="43">
        <f>'Car+SUV'!F38+'Van+Ute'!F38</f>
        <v>26329.876855280872</v>
      </c>
      <c r="G105" s="43">
        <f>'Car+SUV'!G38+'Van+Ute'!G38</f>
        <v>26209.223035722083</v>
      </c>
      <c r="H105" s="43">
        <f>'Car+SUV'!H38+'Van+Ute'!H38</f>
        <v>26262.091351681596</v>
      </c>
      <c r="I105" s="43">
        <f>'Car+SUV'!I38+'Van+Ute'!I38</f>
        <v>26638.964233941482</v>
      </c>
      <c r="J105" s="43">
        <f ca="1">'Car+SUV'!J38+'Van+Ute'!J38</f>
        <v>27255.874271298668</v>
      </c>
      <c r="K105" s="43">
        <f ca="1">'Car+SUV'!K38+'Van+Ute'!K38</f>
        <v>26526.2051600708</v>
      </c>
      <c r="L105" s="43">
        <f ca="1">'Car+SUV'!L38+'Van+Ute'!L38</f>
        <v>25174.616382894459</v>
      </c>
      <c r="M105" s="43">
        <f ca="1">'Car+SUV'!M38+'Van+Ute'!M38</f>
        <v>23915.646165123013</v>
      </c>
      <c r="N105" s="43">
        <f ca="1">'Car+SUV'!N38+'Van+Ute'!N38</f>
        <v>22692.496801102032</v>
      </c>
      <c r="O105" s="56">
        <f ca="1">'Car+SUV'!O38+'Van+Ute'!O38</f>
        <v>21221.099420722734</v>
      </c>
      <c r="P105" s="56">
        <f ca="1">'Car+SUV'!P38+'Van+Ute'!P38</f>
        <v>19752.287881410743</v>
      </c>
      <c r="Q105" s="57">
        <f ca="1">'Car+SUV'!Q38+'Van+Ute'!Q38</f>
        <v>18295.762785767318</v>
      </c>
    </row>
    <row r="106" spans="3:17" ht="15.5" x14ac:dyDescent="0.35">
      <c r="C106" s="24" t="s">
        <v>11</v>
      </c>
      <c r="D106" s="42">
        <f>'Car+SUV'!D39+'Van+Ute'!D39</f>
        <v>486778.86921859172</v>
      </c>
      <c r="E106" s="43">
        <f>'Car+SUV'!E39+'Van+Ute'!E39</f>
        <v>502538.77860785392</v>
      </c>
      <c r="F106" s="43">
        <f>'Car+SUV'!F39+'Van+Ute'!F39</f>
        <v>522173.19879763969</v>
      </c>
      <c r="G106" s="43">
        <f>'Car+SUV'!G39+'Van+Ute'!G39</f>
        <v>539611.91654357617</v>
      </c>
      <c r="H106" s="43">
        <f>'Car+SUV'!H39+'Van+Ute'!H39</f>
        <v>556020.44651744259</v>
      </c>
      <c r="I106" s="43">
        <f>'Car+SUV'!I39+'Van+Ute'!I39</f>
        <v>560862.39665820065</v>
      </c>
      <c r="J106" s="43">
        <f ca="1">'Car+SUV'!J39+'Van+Ute'!J39</f>
        <v>624679.06494948198</v>
      </c>
      <c r="K106" s="43">
        <f ca="1">'Car+SUV'!K39+'Van+Ute'!K39</f>
        <v>645493.28427509777</v>
      </c>
      <c r="L106" s="43">
        <f ca="1">'Car+SUV'!L39+'Van+Ute'!L39</f>
        <v>658292.81544465059</v>
      </c>
      <c r="M106" s="43">
        <f ca="1">'Car+SUV'!M39+'Van+Ute'!M39</f>
        <v>663862.14333009033</v>
      </c>
      <c r="N106" s="43">
        <f ca="1">'Car+SUV'!N39+'Van+Ute'!N39</f>
        <v>666941.93400060909</v>
      </c>
      <c r="O106" s="56">
        <f ca="1">'Car+SUV'!O39+'Van+Ute'!O39</f>
        <v>661938.53312879824</v>
      </c>
      <c r="P106" s="56">
        <f ca="1">'Car+SUV'!P39+'Van+Ute'!P39</f>
        <v>653917.9635146691</v>
      </c>
      <c r="Q106" s="57">
        <f ca="1">'Car+SUV'!Q39+'Van+Ute'!Q39</f>
        <v>642737.73142702633</v>
      </c>
    </row>
    <row r="107" spans="3:17" ht="15.5" x14ac:dyDescent="0.35">
      <c r="C107" s="24" t="s">
        <v>12</v>
      </c>
      <c r="D107" s="42">
        <f>'Car+SUV'!D40+'Van+Ute'!D40</f>
        <v>147288.37606219845</v>
      </c>
      <c r="E107" s="43">
        <f>'Car+SUV'!E40+'Van+Ute'!E40</f>
        <v>151609.65433270653</v>
      </c>
      <c r="F107" s="43">
        <f>'Car+SUV'!F40+'Van+Ute'!F40</f>
        <v>155983.88217072579</v>
      </c>
      <c r="G107" s="43">
        <f>'Car+SUV'!G40+'Van+Ute'!G40</f>
        <v>162912.10612108107</v>
      </c>
      <c r="H107" s="43">
        <f>'Car+SUV'!H40+'Van+Ute'!H40</f>
        <v>176983.92455683375</v>
      </c>
      <c r="I107" s="43">
        <f>'Car+SUV'!I40+'Van+Ute'!I40</f>
        <v>264951.09392935759</v>
      </c>
      <c r="J107" s="43">
        <f ca="1">'Car+SUV'!J40+'Van+Ute'!J40</f>
        <v>293761.4936448544</v>
      </c>
      <c r="K107" s="43">
        <f ca="1">'Car+SUV'!K40+'Van+Ute'!K40</f>
        <v>301141.57974666473</v>
      </c>
      <c r="L107" s="43">
        <f ca="1">'Car+SUV'!L40+'Van+Ute'!L40</f>
        <v>304278.83073128469</v>
      </c>
      <c r="M107" s="43">
        <f ca="1">'Car+SUV'!M40+'Van+Ute'!M40</f>
        <v>304127.66707710206</v>
      </c>
      <c r="N107" s="43">
        <f ca="1">'Car+SUV'!N40+'Van+Ute'!N40</f>
        <v>302768.26071437093</v>
      </c>
      <c r="O107" s="56">
        <f ca="1">'Car+SUV'!O40+'Van+Ute'!O40</f>
        <v>297448.05706956401</v>
      </c>
      <c r="P107" s="56">
        <f ca="1">'Car+SUV'!P40+'Van+Ute'!P40</f>
        <v>290703.41746279161</v>
      </c>
      <c r="Q107" s="57">
        <f ca="1">'Car+SUV'!Q40+'Van+Ute'!Q40</f>
        <v>282505.21123283688</v>
      </c>
    </row>
    <row r="108" spans="3:17" ht="16" thickBot="1" x14ac:dyDescent="0.4">
      <c r="C108" s="25" t="s">
        <v>13</v>
      </c>
      <c r="D108" s="45">
        <f>'Car+SUV'!D41+'Van+Ute'!D41</f>
        <v>82612.625486682198</v>
      </c>
      <c r="E108" s="46">
        <f>'Car+SUV'!E41+'Van+Ute'!E41</f>
        <v>84138.005721865455</v>
      </c>
      <c r="F108" s="46">
        <f>'Car+SUV'!F41+'Van+Ute'!F41</f>
        <v>85861.897177069055</v>
      </c>
      <c r="G108" s="46">
        <f>'Car+SUV'!G41+'Van+Ute'!G41</f>
        <v>88507.016126814604</v>
      </c>
      <c r="H108" s="46">
        <f>'Car+SUV'!H41+'Van+Ute'!H41</f>
        <v>90913.78260862481</v>
      </c>
      <c r="I108" s="46">
        <f>'Car+SUV'!I41+'Van+Ute'!I41</f>
        <v>91743.040980452817</v>
      </c>
      <c r="J108" s="46">
        <f ca="1">'Car+SUV'!J41+'Van+Ute'!J41</f>
        <v>95489.1717859255</v>
      </c>
      <c r="K108" s="46">
        <f ca="1">'Car+SUV'!K41+'Van+Ute'!K41</f>
        <v>93523.530146080506</v>
      </c>
      <c r="L108" s="46">
        <f ca="1">'Car+SUV'!L41+'Van+Ute'!L41</f>
        <v>90756.753297363044</v>
      </c>
      <c r="M108" s="46">
        <f ca="1">'Car+SUV'!M41+'Van+Ute'!M41</f>
        <v>87036.556106586824</v>
      </c>
      <c r="N108" s="46">
        <f ca="1">'Car+SUV'!N41+'Van+Ute'!N41</f>
        <v>83138.029209519445</v>
      </c>
      <c r="O108" s="59">
        <f ca="1">'Car+SUV'!O41+'Van+Ute'!O41</f>
        <v>78208.330421518607</v>
      </c>
      <c r="P108" s="59">
        <f ca="1">'Car+SUV'!P41+'Van+Ute'!P41</f>
        <v>73175.505334376372</v>
      </c>
      <c r="Q108" s="60">
        <f ca="1">'Car+SUV'!Q41+'Van+Ute'!Q41</f>
        <v>68079.615959501141</v>
      </c>
    </row>
    <row r="109" spans="3:17" ht="16.5" thickTop="1" thickBot="1" x14ac:dyDescent="0.4">
      <c r="C109" s="20" t="s">
        <v>24</v>
      </c>
      <c r="D109" s="48">
        <f t="shared" ref="D109:N109" si="18">SUM(D95:D108)</f>
        <v>3199819.9999999991</v>
      </c>
      <c r="E109" s="48">
        <f t="shared" si="18"/>
        <v>3293857</v>
      </c>
      <c r="F109" s="48">
        <f t="shared" si="18"/>
        <v>3419034.9999999986</v>
      </c>
      <c r="G109" s="48">
        <f t="shared" si="18"/>
        <v>3560368.9999999995</v>
      </c>
      <c r="H109" s="48">
        <f t="shared" si="18"/>
        <v>3717904.0000000005</v>
      </c>
      <c r="I109" s="48">
        <f t="shared" si="18"/>
        <v>3858881</v>
      </c>
      <c r="J109" s="48">
        <f t="shared" ca="1" si="18"/>
        <v>4229839.2459943332</v>
      </c>
      <c r="K109" s="48">
        <f t="shared" ca="1" si="18"/>
        <v>4302941.477197472</v>
      </c>
      <c r="L109" s="48">
        <f t="shared" ca="1" si="18"/>
        <v>4324009.0639055166</v>
      </c>
      <c r="M109" s="48">
        <f t="shared" ca="1" si="18"/>
        <v>4297479.9024453769</v>
      </c>
      <c r="N109" s="48">
        <f t="shared" ca="1" si="18"/>
        <v>4255176.1825224077</v>
      </c>
      <c r="O109" s="62">
        <f t="shared" ref="O109:Q109" ca="1" si="19">SUM(O95:O108)</f>
        <v>4155901.2708354415</v>
      </c>
      <c r="P109" s="62">
        <f t="shared" ca="1" si="19"/>
        <v>4038555.8491808441</v>
      </c>
      <c r="Q109" s="63">
        <f t="shared" ca="1" si="19"/>
        <v>3902925.7438241551</v>
      </c>
    </row>
    <row r="110" spans="3:17" ht="13" thickTop="1" x14ac:dyDescent="0.25">
      <c r="C110" s="73"/>
    </row>
    <row r="111" spans="3:17" ht="13" thickBot="1" x14ac:dyDescent="0.3">
      <c r="C111" s="73"/>
    </row>
    <row r="112" spans="3:17" ht="16" thickTop="1" x14ac:dyDescent="0.35">
      <c r="C112" s="32" t="s">
        <v>40</v>
      </c>
      <c r="D112" s="34"/>
      <c r="E112" s="33"/>
      <c r="F112" s="33"/>
      <c r="G112" s="33"/>
      <c r="H112" s="33"/>
      <c r="I112" s="34"/>
      <c r="J112" s="34"/>
      <c r="K112" s="34"/>
      <c r="L112" s="34"/>
      <c r="M112" s="34"/>
      <c r="N112" s="34"/>
      <c r="O112" s="34"/>
      <c r="P112" s="34"/>
      <c r="Q112" s="35"/>
    </row>
    <row r="113" spans="3:17" ht="13.5" thickBot="1" x14ac:dyDescent="0.35">
      <c r="C113" s="18"/>
      <c r="D113" s="65" t="s">
        <v>25</v>
      </c>
      <c r="E113" s="37" t="s">
        <v>37</v>
      </c>
      <c r="F113" s="37" t="s">
        <v>38</v>
      </c>
      <c r="G113" s="37" t="s">
        <v>177</v>
      </c>
      <c r="H113" s="37" t="s">
        <v>178</v>
      </c>
      <c r="I113" s="65" t="s">
        <v>26</v>
      </c>
      <c r="J113" s="65" t="s">
        <v>27</v>
      </c>
      <c r="K113" s="65" t="s">
        <v>28</v>
      </c>
      <c r="L113" s="65" t="s">
        <v>29</v>
      </c>
      <c r="M113" s="65" t="s">
        <v>30</v>
      </c>
      <c r="N113" s="65" t="s">
        <v>31</v>
      </c>
      <c r="O113" s="37" t="s">
        <v>174</v>
      </c>
      <c r="P113" s="37" t="s">
        <v>175</v>
      </c>
      <c r="Q113" s="38" t="s">
        <v>176</v>
      </c>
    </row>
    <row r="114" spans="3:17" ht="14" thickTop="1" thickBot="1" x14ac:dyDescent="0.35">
      <c r="C114" s="70"/>
      <c r="D114" s="71" t="s">
        <v>39</v>
      </c>
      <c r="E114" s="65" t="s">
        <v>39</v>
      </c>
      <c r="F114" s="65" t="s">
        <v>39</v>
      </c>
      <c r="G114" s="65" t="s">
        <v>39</v>
      </c>
      <c r="H114" s="65" t="s">
        <v>39</v>
      </c>
      <c r="I114" s="71" t="s">
        <v>39</v>
      </c>
      <c r="J114" s="71" t="s">
        <v>32</v>
      </c>
      <c r="K114" s="71" t="s">
        <v>32</v>
      </c>
      <c r="L114" s="71" t="s">
        <v>32</v>
      </c>
      <c r="M114" s="71" t="s">
        <v>32</v>
      </c>
      <c r="N114" s="71" t="s">
        <v>32</v>
      </c>
      <c r="O114" s="65" t="s">
        <v>32</v>
      </c>
      <c r="P114" s="65" t="s">
        <v>32</v>
      </c>
      <c r="Q114" s="66" t="s">
        <v>32</v>
      </c>
    </row>
    <row r="115" spans="3:17" ht="16" thickTop="1" x14ac:dyDescent="0.35">
      <c r="C115" s="24" t="s">
        <v>0</v>
      </c>
      <c r="D115" s="39">
        <f>'All Light Vehicles'!D28-'Light Vehicle Supporting Data'!D95</f>
        <v>0</v>
      </c>
      <c r="E115" s="40">
        <f>'All Light Vehicles'!E28-'Light Vehicle Supporting Data'!E95</f>
        <v>0</v>
      </c>
      <c r="F115" s="40">
        <f>'All Light Vehicles'!F28-'Light Vehicle Supporting Data'!F95</f>
        <v>0</v>
      </c>
      <c r="G115" s="40">
        <f>'All Light Vehicles'!G28-'Light Vehicle Supporting Data'!G95</f>
        <v>0</v>
      </c>
      <c r="H115" s="40">
        <f>'All Light Vehicles'!H28-'Light Vehicle Supporting Data'!H95</f>
        <v>0</v>
      </c>
      <c r="I115" s="40">
        <f>'All Light Vehicles'!I28-'Light Vehicle Supporting Data'!I95</f>
        <v>0</v>
      </c>
      <c r="J115" s="40">
        <f ca="1">'All Light Vehicles'!J28-'Light Vehicle Supporting Data'!J95</f>
        <v>0</v>
      </c>
      <c r="K115" s="40">
        <f ca="1">'All Light Vehicles'!K28-'Light Vehicle Supporting Data'!K95</f>
        <v>0</v>
      </c>
      <c r="L115" s="40">
        <f ca="1">'All Light Vehicles'!L28-'Light Vehicle Supporting Data'!L95</f>
        <v>0</v>
      </c>
      <c r="M115" s="40">
        <f ca="1">'All Light Vehicles'!M28-'Light Vehicle Supporting Data'!M95</f>
        <v>0</v>
      </c>
      <c r="N115" s="40">
        <f ca="1">'All Light Vehicles'!N28-'Light Vehicle Supporting Data'!N95</f>
        <v>0</v>
      </c>
      <c r="O115" s="40">
        <f ca="1">'All Light Vehicles'!O28-'Light Vehicle Supporting Data'!O95</f>
        <v>0</v>
      </c>
      <c r="P115" s="40">
        <f ca="1">'All Light Vehicles'!P28-'Light Vehicle Supporting Data'!P95</f>
        <v>0</v>
      </c>
      <c r="Q115" s="41">
        <f ca="1">'All Light Vehicles'!Q28-'Light Vehicle Supporting Data'!Q95</f>
        <v>0</v>
      </c>
    </row>
    <row r="116" spans="3:17" ht="15.5" x14ac:dyDescent="0.35">
      <c r="C116" s="24" t="s">
        <v>1</v>
      </c>
      <c r="D116" s="42">
        <f>'All Light Vehicles'!D29-'Light Vehicle Supporting Data'!D96</f>
        <v>0</v>
      </c>
      <c r="E116" s="43">
        <f>'All Light Vehicles'!E29-'Light Vehicle Supporting Data'!E96</f>
        <v>0</v>
      </c>
      <c r="F116" s="43">
        <f>'All Light Vehicles'!F29-'Light Vehicle Supporting Data'!F96</f>
        <v>0</v>
      </c>
      <c r="G116" s="43">
        <f>'All Light Vehicles'!G29-'Light Vehicle Supporting Data'!G96</f>
        <v>0</v>
      </c>
      <c r="H116" s="43">
        <f>'All Light Vehicles'!H29-'Light Vehicle Supporting Data'!H96</f>
        <v>0</v>
      </c>
      <c r="I116" s="43">
        <f>'All Light Vehicles'!I29-'Light Vehicle Supporting Data'!I96</f>
        <v>0</v>
      </c>
      <c r="J116" s="43">
        <f ca="1">'All Light Vehicles'!J29-'Light Vehicle Supporting Data'!J96</f>
        <v>0</v>
      </c>
      <c r="K116" s="43">
        <f ca="1">'All Light Vehicles'!K29-'Light Vehicle Supporting Data'!K96</f>
        <v>0</v>
      </c>
      <c r="L116" s="43">
        <f ca="1">'All Light Vehicles'!L29-'Light Vehicle Supporting Data'!L96</f>
        <v>0</v>
      </c>
      <c r="M116" s="43">
        <f ca="1">'All Light Vehicles'!M29-'Light Vehicle Supporting Data'!M96</f>
        <v>0</v>
      </c>
      <c r="N116" s="43">
        <f ca="1">'All Light Vehicles'!N29-'Light Vehicle Supporting Data'!N96</f>
        <v>0</v>
      </c>
      <c r="O116" s="43">
        <f ca="1">'All Light Vehicles'!O29-'Light Vehicle Supporting Data'!O96</f>
        <v>0</v>
      </c>
      <c r="P116" s="43">
        <f ca="1">'All Light Vehicles'!P29-'Light Vehicle Supporting Data'!P96</f>
        <v>0</v>
      </c>
      <c r="Q116" s="44">
        <f ca="1">'All Light Vehicles'!Q29-'Light Vehicle Supporting Data'!Q96</f>
        <v>0</v>
      </c>
    </row>
    <row r="117" spans="3:17" ht="15.5" x14ac:dyDescent="0.35">
      <c r="C117" s="24" t="s">
        <v>2</v>
      </c>
      <c r="D117" s="42">
        <f>'All Light Vehicles'!D30-'Light Vehicle Supporting Data'!D97</f>
        <v>0</v>
      </c>
      <c r="E117" s="43">
        <f>'All Light Vehicles'!E30-'Light Vehicle Supporting Data'!E97</f>
        <v>0</v>
      </c>
      <c r="F117" s="43">
        <f>'All Light Vehicles'!F30-'Light Vehicle Supporting Data'!F97</f>
        <v>0</v>
      </c>
      <c r="G117" s="43">
        <f>'All Light Vehicles'!G30-'Light Vehicle Supporting Data'!G97</f>
        <v>0</v>
      </c>
      <c r="H117" s="43">
        <f>'All Light Vehicles'!H30-'Light Vehicle Supporting Data'!H97</f>
        <v>0</v>
      </c>
      <c r="I117" s="43">
        <f>'All Light Vehicles'!I30-'Light Vehicle Supporting Data'!I97</f>
        <v>0</v>
      </c>
      <c r="J117" s="43">
        <f ca="1">'All Light Vehicles'!J30-'Light Vehicle Supporting Data'!J97</f>
        <v>0</v>
      </c>
      <c r="K117" s="43">
        <f ca="1">'All Light Vehicles'!K30-'Light Vehicle Supporting Data'!K97</f>
        <v>0</v>
      </c>
      <c r="L117" s="43">
        <f ca="1">'All Light Vehicles'!L30-'Light Vehicle Supporting Data'!L97</f>
        <v>0</v>
      </c>
      <c r="M117" s="43">
        <f ca="1">'All Light Vehicles'!M30-'Light Vehicle Supporting Data'!M97</f>
        <v>0</v>
      </c>
      <c r="N117" s="43">
        <f ca="1">'All Light Vehicles'!N30-'Light Vehicle Supporting Data'!N97</f>
        <v>0</v>
      </c>
      <c r="O117" s="43">
        <f ca="1">'All Light Vehicles'!O30-'Light Vehicle Supporting Data'!O97</f>
        <v>0</v>
      </c>
      <c r="P117" s="43">
        <f ca="1">'All Light Vehicles'!P30-'Light Vehicle Supporting Data'!P97</f>
        <v>0</v>
      </c>
      <c r="Q117" s="44">
        <f ca="1">'All Light Vehicles'!Q30-'Light Vehicle Supporting Data'!Q97</f>
        <v>0</v>
      </c>
    </row>
    <row r="118" spans="3:17" ht="15.5" x14ac:dyDescent="0.35">
      <c r="C118" s="24" t="s">
        <v>3</v>
      </c>
      <c r="D118" s="42">
        <f>'All Light Vehicles'!D31-'Light Vehicle Supporting Data'!D98</f>
        <v>0</v>
      </c>
      <c r="E118" s="43">
        <f>'All Light Vehicles'!E31-'Light Vehicle Supporting Data'!E98</f>
        <v>0</v>
      </c>
      <c r="F118" s="43">
        <f>'All Light Vehicles'!F31-'Light Vehicle Supporting Data'!F98</f>
        <v>0</v>
      </c>
      <c r="G118" s="43">
        <f>'All Light Vehicles'!G31-'Light Vehicle Supporting Data'!G98</f>
        <v>0</v>
      </c>
      <c r="H118" s="43">
        <f>'All Light Vehicles'!H31-'Light Vehicle Supporting Data'!H98</f>
        <v>0</v>
      </c>
      <c r="I118" s="43">
        <f>'All Light Vehicles'!I31-'Light Vehicle Supporting Data'!I98</f>
        <v>0</v>
      </c>
      <c r="J118" s="43">
        <f ca="1">'All Light Vehicles'!J31-'Light Vehicle Supporting Data'!J98</f>
        <v>0</v>
      </c>
      <c r="K118" s="43">
        <f ca="1">'All Light Vehicles'!K31-'Light Vehicle Supporting Data'!K98</f>
        <v>0</v>
      </c>
      <c r="L118" s="43">
        <f ca="1">'All Light Vehicles'!L31-'Light Vehicle Supporting Data'!L98</f>
        <v>0</v>
      </c>
      <c r="M118" s="43">
        <f ca="1">'All Light Vehicles'!M31-'Light Vehicle Supporting Data'!M98</f>
        <v>0</v>
      </c>
      <c r="N118" s="43">
        <f ca="1">'All Light Vehicles'!N31-'Light Vehicle Supporting Data'!N98</f>
        <v>0</v>
      </c>
      <c r="O118" s="43">
        <f ca="1">'All Light Vehicles'!O31-'Light Vehicle Supporting Data'!O98</f>
        <v>0</v>
      </c>
      <c r="P118" s="43">
        <f ca="1">'All Light Vehicles'!P31-'Light Vehicle Supporting Data'!P98</f>
        <v>0</v>
      </c>
      <c r="Q118" s="44">
        <f ca="1">'All Light Vehicles'!Q31-'Light Vehicle Supporting Data'!Q98</f>
        <v>0</v>
      </c>
    </row>
    <row r="119" spans="3:17" ht="15.5" x14ac:dyDescent="0.35">
      <c r="C119" s="24" t="s">
        <v>4</v>
      </c>
      <c r="D119" s="42">
        <f>'All Light Vehicles'!D32-'Light Vehicle Supporting Data'!D99</f>
        <v>0</v>
      </c>
      <c r="E119" s="43">
        <f>'All Light Vehicles'!E32-'Light Vehicle Supporting Data'!E99</f>
        <v>0</v>
      </c>
      <c r="F119" s="43">
        <f>'All Light Vehicles'!F32-'Light Vehicle Supporting Data'!F99</f>
        <v>0</v>
      </c>
      <c r="G119" s="43">
        <f>'All Light Vehicles'!G32-'Light Vehicle Supporting Data'!G99</f>
        <v>0</v>
      </c>
      <c r="H119" s="43">
        <f>'All Light Vehicles'!H32-'Light Vehicle Supporting Data'!H99</f>
        <v>0</v>
      </c>
      <c r="I119" s="43">
        <f>'All Light Vehicles'!I32-'Light Vehicle Supporting Data'!I99</f>
        <v>0</v>
      </c>
      <c r="J119" s="43">
        <f ca="1">'All Light Vehicles'!J32-'Light Vehicle Supporting Data'!J99</f>
        <v>0</v>
      </c>
      <c r="K119" s="43">
        <f ca="1">'All Light Vehicles'!K32-'Light Vehicle Supporting Data'!K99</f>
        <v>0</v>
      </c>
      <c r="L119" s="43">
        <f ca="1">'All Light Vehicles'!L32-'Light Vehicle Supporting Data'!L99</f>
        <v>0</v>
      </c>
      <c r="M119" s="43">
        <f ca="1">'All Light Vehicles'!M32-'Light Vehicle Supporting Data'!M99</f>
        <v>0</v>
      </c>
      <c r="N119" s="43">
        <f ca="1">'All Light Vehicles'!N32-'Light Vehicle Supporting Data'!N99</f>
        <v>0</v>
      </c>
      <c r="O119" s="43">
        <f ca="1">'All Light Vehicles'!O32-'Light Vehicle Supporting Data'!O99</f>
        <v>0</v>
      </c>
      <c r="P119" s="43">
        <f ca="1">'All Light Vehicles'!P32-'Light Vehicle Supporting Data'!P99</f>
        <v>0</v>
      </c>
      <c r="Q119" s="44">
        <f ca="1">'All Light Vehicles'!Q32-'Light Vehicle Supporting Data'!Q99</f>
        <v>0</v>
      </c>
    </row>
    <row r="120" spans="3:17" ht="15.5" x14ac:dyDescent="0.35">
      <c r="C120" s="24" t="s">
        <v>5</v>
      </c>
      <c r="D120" s="42">
        <f>'All Light Vehicles'!D33-'Light Vehicle Supporting Data'!D100</f>
        <v>0</v>
      </c>
      <c r="E120" s="43">
        <f>'All Light Vehicles'!E33-'Light Vehicle Supporting Data'!E100</f>
        <v>0</v>
      </c>
      <c r="F120" s="43">
        <f>'All Light Vehicles'!F33-'Light Vehicle Supporting Data'!F100</f>
        <v>0</v>
      </c>
      <c r="G120" s="43">
        <f>'All Light Vehicles'!G33-'Light Vehicle Supporting Data'!G100</f>
        <v>0</v>
      </c>
      <c r="H120" s="43">
        <f>'All Light Vehicles'!H33-'Light Vehicle Supporting Data'!H100</f>
        <v>0</v>
      </c>
      <c r="I120" s="43">
        <f>'All Light Vehicles'!I33-'Light Vehicle Supporting Data'!I100</f>
        <v>0</v>
      </c>
      <c r="J120" s="43">
        <f ca="1">'All Light Vehicles'!J33-'Light Vehicle Supporting Data'!J100</f>
        <v>0</v>
      </c>
      <c r="K120" s="43">
        <f ca="1">'All Light Vehicles'!K33-'Light Vehicle Supporting Data'!K100</f>
        <v>0</v>
      </c>
      <c r="L120" s="43">
        <f ca="1">'All Light Vehicles'!L33-'Light Vehicle Supporting Data'!L100</f>
        <v>0</v>
      </c>
      <c r="M120" s="43">
        <f ca="1">'All Light Vehicles'!M33-'Light Vehicle Supporting Data'!M100</f>
        <v>0</v>
      </c>
      <c r="N120" s="43">
        <f ca="1">'All Light Vehicles'!N33-'Light Vehicle Supporting Data'!N100</f>
        <v>0</v>
      </c>
      <c r="O120" s="43">
        <f ca="1">'All Light Vehicles'!O33-'Light Vehicle Supporting Data'!O100</f>
        <v>0</v>
      </c>
      <c r="P120" s="43">
        <f ca="1">'All Light Vehicles'!P33-'Light Vehicle Supporting Data'!P100</f>
        <v>0</v>
      </c>
      <c r="Q120" s="44">
        <f ca="1">'All Light Vehicles'!Q33-'Light Vehicle Supporting Data'!Q100</f>
        <v>0</v>
      </c>
    </row>
    <row r="121" spans="3:17" ht="15.5" x14ac:dyDescent="0.35">
      <c r="C121" s="24" t="s">
        <v>6</v>
      </c>
      <c r="D121" s="42">
        <f>'All Light Vehicles'!D34-'Light Vehicle Supporting Data'!D101</f>
        <v>0</v>
      </c>
      <c r="E121" s="43">
        <f>'All Light Vehicles'!E34-'Light Vehicle Supporting Data'!E101</f>
        <v>0</v>
      </c>
      <c r="F121" s="43">
        <f>'All Light Vehicles'!F34-'Light Vehicle Supporting Data'!F101</f>
        <v>0</v>
      </c>
      <c r="G121" s="43">
        <f>'All Light Vehicles'!G34-'Light Vehicle Supporting Data'!G101</f>
        <v>0</v>
      </c>
      <c r="H121" s="43">
        <f>'All Light Vehicles'!H34-'Light Vehicle Supporting Data'!H101</f>
        <v>0</v>
      </c>
      <c r="I121" s="43">
        <f>'All Light Vehicles'!I34-'Light Vehicle Supporting Data'!I101</f>
        <v>0</v>
      </c>
      <c r="J121" s="43">
        <f ca="1">'All Light Vehicles'!J34-'Light Vehicle Supporting Data'!J101</f>
        <v>0</v>
      </c>
      <c r="K121" s="43">
        <f ca="1">'All Light Vehicles'!K34-'Light Vehicle Supporting Data'!K101</f>
        <v>0</v>
      </c>
      <c r="L121" s="43">
        <f ca="1">'All Light Vehicles'!L34-'Light Vehicle Supporting Data'!L101</f>
        <v>0</v>
      </c>
      <c r="M121" s="43">
        <f ca="1">'All Light Vehicles'!M34-'Light Vehicle Supporting Data'!M101</f>
        <v>0</v>
      </c>
      <c r="N121" s="43">
        <f ca="1">'All Light Vehicles'!N34-'Light Vehicle Supporting Data'!N101</f>
        <v>0</v>
      </c>
      <c r="O121" s="43">
        <f ca="1">'All Light Vehicles'!O34-'Light Vehicle Supporting Data'!O101</f>
        <v>0</v>
      </c>
      <c r="P121" s="43">
        <f ca="1">'All Light Vehicles'!P34-'Light Vehicle Supporting Data'!P101</f>
        <v>0</v>
      </c>
      <c r="Q121" s="44">
        <f ca="1">'All Light Vehicles'!Q34-'Light Vehicle Supporting Data'!Q101</f>
        <v>0</v>
      </c>
    </row>
    <row r="122" spans="3:17" ht="15.5" x14ac:dyDescent="0.35">
      <c r="C122" s="24" t="s">
        <v>7</v>
      </c>
      <c r="D122" s="42">
        <f>'All Light Vehicles'!D35-'Light Vehicle Supporting Data'!D102</f>
        <v>0</v>
      </c>
      <c r="E122" s="43">
        <f>'All Light Vehicles'!E35-'Light Vehicle Supporting Data'!E102</f>
        <v>0</v>
      </c>
      <c r="F122" s="43">
        <f>'All Light Vehicles'!F35-'Light Vehicle Supporting Data'!F102</f>
        <v>0</v>
      </c>
      <c r="G122" s="43">
        <f>'All Light Vehicles'!G35-'Light Vehicle Supporting Data'!G102</f>
        <v>0</v>
      </c>
      <c r="H122" s="43">
        <f>'All Light Vehicles'!H35-'Light Vehicle Supporting Data'!H102</f>
        <v>0</v>
      </c>
      <c r="I122" s="43">
        <f>'All Light Vehicles'!I35-'Light Vehicle Supporting Data'!I102</f>
        <v>0</v>
      </c>
      <c r="J122" s="43">
        <f ca="1">'All Light Vehicles'!J35-'Light Vehicle Supporting Data'!J102</f>
        <v>0</v>
      </c>
      <c r="K122" s="43">
        <f ca="1">'All Light Vehicles'!K35-'Light Vehicle Supporting Data'!K102</f>
        <v>0</v>
      </c>
      <c r="L122" s="43">
        <f ca="1">'All Light Vehicles'!L35-'Light Vehicle Supporting Data'!L102</f>
        <v>0</v>
      </c>
      <c r="M122" s="43">
        <f ca="1">'All Light Vehicles'!M35-'Light Vehicle Supporting Data'!M102</f>
        <v>0</v>
      </c>
      <c r="N122" s="43">
        <f ca="1">'All Light Vehicles'!N35-'Light Vehicle Supporting Data'!N102</f>
        <v>0</v>
      </c>
      <c r="O122" s="43">
        <f ca="1">'All Light Vehicles'!O35-'Light Vehicle Supporting Data'!O102</f>
        <v>0</v>
      </c>
      <c r="P122" s="43">
        <f ca="1">'All Light Vehicles'!P35-'Light Vehicle Supporting Data'!P102</f>
        <v>0</v>
      </c>
      <c r="Q122" s="44">
        <f ca="1">'All Light Vehicles'!Q35-'Light Vehicle Supporting Data'!Q102</f>
        <v>0</v>
      </c>
    </row>
    <row r="123" spans="3:17" ht="15.5" x14ac:dyDescent="0.35">
      <c r="C123" s="24" t="s">
        <v>8</v>
      </c>
      <c r="D123" s="42">
        <f>'All Light Vehicles'!D36-'Light Vehicle Supporting Data'!D103</f>
        <v>0</v>
      </c>
      <c r="E123" s="43">
        <f>'All Light Vehicles'!E36-'Light Vehicle Supporting Data'!E103</f>
        <v>0</v>
      </c>
      <c r="F123" s="43">
        <f>'All Light Vehicles'!F36-'Light Vehicle Supporting Data'!F103</f>
        <v>0</v>
      </c>
      <c r="G123" s="43">
        <f>'All Light Vehicles'!G36-'Light Vehicle Supporting Data'!G103</f>
        <v>0</v>
      </c>
      <c r="H123" s="43">
        <f>'All Light Vehicles'!H36-'Light Vehicle Supporting Data'!H103</f>
        <v>0</v>
      </c>
      <c r="I123" s="43">
        <f>'All Light Vehicles'!I36-'Light Vehicle Supporting Data'!I103</f>
        <v>0</v>
      </c>
      <c r="J123" s="43">
        <f ca="1">'All Light Vehicles'!J36-'Light Vehicle Supporting Data'!J103</f>
        <v>0</v>
      </c>
      <c r="K123" s="43">
        <f ca="1">'All Light Vehicles'!K36-'Light Vehicle Supporting Data'!K103</f>
        <v>0</v>
      </c>
      <c r="L123" s="43">
        <f ca="1">'All Light Vehicles'!L36-'Light Vehicle Supporting Data'!L103</f>
        <v>0</v>
      </c>
      <c r="M123" s="43">
        <f ca="1">'All Light Vehicles'!M36-'Light Vehicle Supporting Data'!M103</f>
        <v>0</v>
      </c>
      <c r="N123" s="43">
        <f ca="1">'All Light Vehicles'!N36-'Light Vehicle Supporting Data'!N103</f>
        <v>0</v>
      </c>
      <c r="O123" s="43">
        <f ca="1">'All Light Vehicles'!O36-'Light Vehicle Supporting Data'!O103</f>
        <v>0</v>
      </c>
      <c r="P123" s="43">
        <f ca="1">'All Light Vehicles'!P36-'Light Vehicle Supporting Data'!P103</f>
        <v>0</v>
      </c>
      <c r="Q123" s="44">
        <f ca="1">'All Light Vehicles'!Q36-'Light Vehicle Supporting Data'!Q103</f>
        <v>0</v>
      </c>
    </row>
    <row r="124" spans="3:17" ht="15.5" x14ac:dyDescent="0.35">
      <c r="C124" s="24" t="s">
        <v>9</v>
      </c>
      <c r="D124" s="42">
        <f>'All Light Vehicles'!D37-'Light Vehicle Supporting Data'!D104</f>
        <v>0</v>
      </c>
      <c r="E124" s="43">
        <f>'All Light Vehicles'!E37-'Light Vehicle Supporting Data'!E104</f>
        <v>0</v>
      </c>
      <c r="F124" s="43">
        <f>'All Light Vehicles'!F37-'Light Vehicle Supporting Data'!F104</f>
        <v>0</v>
      </c>
      <c r="G124" s="43">
        <f>'All Light Vehicles'!G37-'Light Vehicle Supporting Data'!G104</f>
        <v>0</v>
      </c>
      <c r="H124" s="43">
        <f>'All Light Vehicles'!H37-'Light Vehicle Supporting Data'!H104</f>
        <v>0</v>
      </c>
      <c r="I124" s="43">
        <f>'All Light Vehicles'!I37-'Light Vehicle Supporting Data'!I104</f>
        <v>0</v>
      </c>
      <c r="J124" s="43">
        <f ca="1">'All Light Vehicles'!J37-'Light Vehicle Supporting Data'!J104</f>
        <v>0</v>
      </c>
      <c r="K124" s="43">
        <f ca="1">'All Light Vehicles'!K37-'Light Vehicle Supporting Data'!K104</f>
        <v>0</v>
      </c>
      <c r="L124" s="43">
        <f ca="1">'All Light Vehicles'!L37-'Light Vehicle Supporting Data'!L104</f>
        <v>0</v>
      </c>
      <c r="M124" s="43">
        <f ca="1">'All Light Vehicles'!M37-'Light Vehicle Supporting Data'!M104</f>
        <v>0</v>
      </c>
      <c r="N124" s="43">
        <f ca="1">'All Light Vehicles'!N37-'Light Vehicle Supporting Data'!N104</f>
        <v>0</v>
      </c>
      <c r="O124" s="43">
        <f ca="1">'All Light Vehicles'!O37-'Light Vehicle Supporting Data'!O104</f>
        <v>0</v>
      </c>
      <c r="P124" s="43">
        <f ca="1">'All Light Vehicles'!P37-'Light Vehicle Supporting Data'!P104</f>
        <v>0</v>
      </c>
      <c r="Q124" s="44">
        <f ca="1">'All Light Vehicles'!Q37-'Light Vehicle Supporting Data'!Q104</f>
        <v>0</v>
      </c>
    </row>
    <row r="125" spans="3:17" ht="15.5" x14ac:dyDescent="0.35">
      <c r="C125" s="24" t="s">
        <v>10</v>
      </c>
      <c r="D125" s="42">
        <f>'All Light Vehicles'!D38-'Light Vehicle Supporting Data'!D105</f>
        <v>0</v>
      </c>
      <c r="E125" s="43">
        <f>'All Light Vehicles'!E38-'Light Vehicle Supporting Data'!E105</f>
        <v>0</v>
      </c>
      <c r="F125" s="43">
        <f>'All Light Vehicles'!F38-'Light Vehicle Supporting Data'!F105</f>
        <v>0</v>
      </c>
      <c r="G125" s="43">
        <f>'All Light Vehicles'!G38-'Light Vehicle Supporting Data'!G105</f>
        <v>0</v>
      </c>
      <c r="H125" s="43">
        <f>'All Light Vehicles'!H38-'Light Vehicle Supporting Data'!H105</f>
        <v>0</v>
      </c>
      <c r="I125" s="43">
        <f>'All Light Vehicles'!I38-'Light Vehicle Supporting Data'!I105</f>
        <v>0</v>
      </c>
      <c r="J125" s="43">
        <f ca="1">'All Light Vehicles'!J38-'Light Vehicle Supporting Data'!J105</f>
        <v>0</v>
      </c>
      <c r="K125" s="43">
        <f ca="1">'All Light Vehicles'!K38-'Light Vehicle Supporting Data'!K105</f>
        <v>0</v>
      </c>
      <c r="L125" s="43">
        <f ca="1">'All Light Vehicles'!L38-'Light Vehicle Supporting Data'!L105</f>
        <v>0</v>
      </c>
      <c r="M125" s="43">
        <f ca="1">'All Light Vehicles'!M38-'Light Vehicle Supporting Data'!M105</f>
        <v>0</v>
      </c>
      <c r="N125" s="43">
        <f ca="1">'All Light Vehicles'!N38-'Light Vehicle Supporting Data'!N105</f>
        <v>0</v>
      </c>
      <c r="O125" s="43">
        <f ca="1">'All Light Vehicles'!O38-'Light Vehicle Supporting Data'!O105</f>
        <v>0</v>
      </c>
      <c r="P125" s="43">
        <f ca="1">'All Light Vehicles'!P38-'Light Vehicle Supporting Data'!P105</f>
        <v>0</v>
      </c>
      <c r="Q125" s="44">
        <f ca="1">'All Light Vehicles'!Q38-'Light Vehicle Supporting Data'!Q105</f>
        <v>0</v>
      </c>
    </row>
    <row r="126" spans="3:17" ht="15.5" x14ac:dyDescent="0.35">
      <c r="C126" s="24" t="s">
        <v>11</v>
      </c>
      <c r="D126" s="42">
        <f>'All Light Vehicles'!D39-'Light Vehicle Supporting Data'!D106</f>
        <v>0</v>
      </c>
      <c r="E126" s="43">
        <f>'All Light Vehicles'!E39-'Light Vehicle Supporting Data'!E106</f>
        <v>0</v>
      </c>
      <c r="F126" s="43">
        <f>'All Light Vehicles'!F39-'Light Vehicle Supporting Data'!F106</f>
        <v>0</v>
      </c>
      <c r="G126" s="43">
        <f>'All Light Vehicles'!G39-'Light Vehicle Supporting Data'!G106</f>
        <v>0</v>
      </c>
      <c r="H126" s="43">
        <f>'All Light Vehicles'!H39-'Light Vehicle Supporting Data'!H106</f>
        <v>0</v>
      </c>
      <c r="I126" s="43">
        <f>'All Light Vehicles'!I39-'Light Vehicle Supporting Data'!I106</f>
        <v>0</v>
      </c>
      <c r="J126" s="43">
        <f ca="1">'All Light Vehicles'!J39-'Light Vehicle Supporting Data'!J106</f>
        <v>0</v>
      </c>
      <c r="K126" s="43">
        <f ca="1">'All Light Vehicles'!K39-'Light Vehicle Supporting Data'!K106</f>
        <v>0</v>
      </c>
      <c r="L126" s="43">
        <f ca="1">'All Light Vehicles'!L39-'Light Vehicle Supporting Data'!L106</f>
        <v>0</v>
      </c>
      <c r="M126" s="43">
        <f ca="1">'All Light Vehicles'!M39-'Light Vehicle Supporting Data'!M106</f>
        <v>0</v>
      </c>
      <c r="N126" s="43">
        <f ca="1">'All Light Vehicles'!N39-'Light Vehicle Supporting Data'!N106</f>
        <v>0</v>
      </c>
      <c r="O126" s="43">
        <f ca="1">'All Light Vehicles'!O39-'Light Vehicle Supporting Data'!O106</f>
        <v>0</v>
      </c>
      <c r="P126" s="43">
        <f ca="1">'All Light Vehicles'!P39-'Light Vehicle Supporting Data'!P106</f>
        <v>0</v>
      </c>
      <c r="Q126" s="44">
        <f ca="1">'All Light Vehicles'!Q39-'Light Vehicle Supporting Data'!Q106</f>
        <v>0</v>
      </c>
    </row>
    <row r="127" spans="3:17" ht="15.5" x14ac:dyDescent="0.35">
      <c r="C127" s="24" t="s">
        <v>12</v>
      </c>
      <c r="D127" s="42">
        <f>'All Light Vehicles'!D40-'Light Vehicle Supporting Data'!D107</f>
        <v>0</v>
      </c>
      <c r="E127" s="43">
        <f>'All Light Vehicles'!E40-'Light Vehicle Supporting Data'!E107</f>
        <v>0</v>
      </c>
      <c r="F127" s="43">
        <f>'All Light Vehicles'!F40-'Light Vehicle Supporting Data'!F107</f>
        <v>0</v>
      </c>
      <c r="G127" s="43">
        <f>'All Light Vehicles'!G40-'Light Vehicle Supporting Data'!G107</f>
        <v>0</v>
      </c>
      <c r="H127" s="43">
        <f>'All Light Vehicles'!H40-'Light Vehicle Supporting Data'!H107</f>
        <v>0</v>
      </c>
      <c r="I127" s="43">
        <f>'All Light Vehicles'!I40-'Light Vehicle Supporting Data'!I107</f>
        <v>0</v>
      </c>
      <c r="J127" s="43">
        <f ca="1">'All Light Vehicles'!J40-'Light Vehicle Supporting Data'!J107</f>
        <v>0</v>
      </c>
      <c r="K127" s="43">
        <f ca="1">'All Light Vehicles'!K40-'Light Vehicle Supporting Data'!K107</f>
        <v>0</v>
      </c>
      <c r="L127" s="43">
        <f ca="1">'All Light Vehicles'!L40-'Light Vehicle Supporting Data'!L107</f>
        <v>0</v>
      </c>
      <c r="M127" s="43">
        <f ca="1">'All Light Vehicles'!M40-'Light Vehicle Supporting Data'!M107</f>
        <v>0</v>
      </c>
      <c r="N127" s="43">
        <f ca="1">'All Light Vehicles'!N40-'Light Vehicle Supporting Data'!N107</f>
        <v>0</v>
      </c>
      <c r="O127" s="43">
        <f ca="1">'All Light Vehicles'!O40-'Light Vehicle Supporting Data'!O107</f>
        <v>0</v>
      </c>
      <c r="P127" s="43">
        <f ca="1">'All Light Vehicles'!P40-'Light Vehicle Supporting Data'!P107</f>
        <v>0</v>
      </c>
      <c r="Q127" s="44">
        <f ca="1">'All Light Vehicles'!Q40-'Light Vehicle Supporting Data'!Q107</f>
        <v>0</v>
      </c>
    </row>
    <row r="128" spans="3:17" ht="16" thickBot="1" x14ac:dyDescent="0.4">
      <c r="C128" s="25" t="s">
        <v>13</v>
      </c>
      <c r="D128" s="45">
        <f>'All Light Vehicles'!D41-'Light Vehicle Supporting Data'!D108</f>
        <v>0</v>
      </c>
      <c r="E128" s="46">
        <f>'All Light Vehicles'!E41-'Light Vehicle Supporting Data'!E108</f>
        <v>0</v>
      </c>
      <c r="F128" s="46">
        <f>'All Light Vehicles'!F41-'Light Vehicle Supporting Data'!F108</f>
        <v>0</v>
      </c>
      <c r="G128" s="46">
        <f>'All Light Vehicles'!G41-'Light Vehicle Supporting Data'!G108</f>
        <v>0</v>
      </c>
      <c r="H128" s="46">
        <f>'All Light Vehicles'!H41-'Light Vehicle Supporting Data'!H108</f>
        <v>0</v>
      </c>
      <c r="I128" s="46">
        <f>'All Light Vehicles'!I41-'Light Vehicle Supporting Data'!I108</f>
        <v>0</v>
      </c>
      <c r="J128" s="46">
        <f ca="1">'All Light Vehicles'!J41-'Light Vehicle Supporting Data'!J108</f>
        <v>0</v>
      </c>
      <c r="K128" s="46">
        <f ca="1">'All Light Vehicles'!K41-'Light Vehicle Supporting Data'!K108</f>
        <v>0</v>
      </c>
      <c r="L128" s="46">
        <f ca="1">'All Light Vehicles'!L41-'Light Vehicle Supporting Data'!L108</f>
        <v>0</v>
      </c>
      <c r="M128" s="46">
        <f ca="1">'All Light Vehicles'!M41-'Light Vehicle Supporting Data'!M108</f>
        <v>0</v>
      </c>
      <c r="N128" s="46">
        <f ca="1">'All Light Vehicles'!N41-'Light Vehicle Supporting Data'!N108</f>
        <v>0</v>
      </c>
      <c r="O128" s="46">
        <f ca="1">'All Light Vehicles'!O41-'Light Vehicle Supporting Data'!O108</f>
        <v>0</v>
      </c>
      <c r="P128" s="46">
        <f ca="1">'All Light Vehicles'!P41-'Light Vehicle Supporting Data'!P108</f>
        <v>0</v>
      </c>
      <c r="Q128" s="47">
        <f ca="1">'All Light Vehicles'!Q41-'Light Vehicle Supporting Data'!Q108</f>
        <v>0</v>
      </c>
    </row>
    <row r="129" spans="3:17" ht="16.5" thickTop="1" thickBot="1" x14ac:dyDescent="0.4">
      <c r="C129" s="20" t="s">
        <v>24</v>
      </c>
      <c r="D129" s="48">
        <f t="shared" ref="D129:N129" si="20">SUM(D115:D128)</f>
        <v>0</v>
      </c>
      <c r="E129" s="48">
        <f t="shared" si="20"/>
        <v>0</v>
      </c>
      <c r="F129" s="48">
        <f t="shared" si="20"/>
        <v>0</v>
      </c>
      <c r="G129" s="48">
        <f t="shared" si="20"/>
        <v>0</v>
      </c>
      <c r="H129" s="48">
        <f t="shared" si="20"/>
        <v>0</v>
      </c>
      <c r="I129" s="48">
        <f t="shared" si="20"/>
        <v>0</v>
      </c>
      <c r="J129" s="48">
        <f t="shared" ca="1" si="20"/>
        <v>0</v>
      </c>
      <c r="K129" s="48">
        <f t="shared" ca="1" si="20"/>
        <v>0</v>
      </c>
      <c r="L129" s="48">
        <f t="shared" ca="1" si="20"/>
        <v>0</v>
      </c>
      <c r="M129" s="48">
        <f t="shared" ca="1" si="20"/>
        <v>0</v>
      </c>
      <c r="N129" s="48">
        <f t="shared" ca="1" si="20"/>
        <v>0</v>
      </c>
      <c r="O129" s="48">
        <f t="shared" ref="O129:Q129" ca="1" si="21">SUM(O115:O128)</f>
        <v>0</v>
      </c>
      <c r="P129" s="48">
        <f t="shared" ca="1" si="21"/>
        <v>0</v>
      </c>
      <c r="Q129" s="49">
        <f t="shared" ca="1" si="21"/>
        <v>0</v>
      </c>
    </row>
    <row r="130" spans="3:17" ht="13" thickTop="1" x14ac:dyDescent="0.25"/>
    <row r="132" spans="3:17" ht="15.5" x14ac:dyDescent="0.35">
      <c r="C132" s="50" t="s">
        <v>70</v>
      </c>
      <c r="D132" s="50"/>
      <c r="E132" s="50"/>
      <c r="F132" s="51">
        <f>SUM('[3]14_15 fleet'!$D$84:$D$98)/SUM('[3]14_15 fleet'!$D$69:$D$98)</f>
        <v>0.89560208650037543</v>
      </c>
      <c r="H132" s="50" t="s">
        <v>72</v>
      </c>
      <c r="I132" s="50"/>
      <c r="J132" s="50"/>
      <c r="K132" s="50"/>
      <c r="L132" s="50"/>
      <c r="M132" s="51">
        <f>'Vehicle Share Diversion Support'!D20/(SUM('[1]12_13 fleet'!$D$68:$D$97)+SUM('[1]12_13 fleet'!$D$188:$D$217))</f>
        <v>0.86843170540862202</v>
      </c>
    </row>
    <row r="134" spans="3:17" ht="15.5" x14ac:dyDescent="0.35">
      <c r="C134" s="50" t="s">
        <v>71</v>
      </c>
      <c r="D134" s="50"/>
      <c r="E134" s="50"/>
      <c r="F134" s="51">
        <f>SUM('[3]14_15 fleet'!$D$204:$D$218)/SUM('[3]14_15 fleet'!$D$189:$D$218)</f>
        <v>0.60607108098821216</v>
      </c>
    </row>
    <row r="136" spans="3:17" ht="13" thickBot="1" x14ac:dyDescent="0.3"/>
    <row r="137" spans="3:17" ht="16.5" thickTop="1" thickBot="1" x14ac:dyDescent="0.4">
      <c r="C137" s="32" t="s">
        <v>105</v>
      </c>
      <c r="D137" s="34"/>
      <c r="E137" s="34"/>
      <c r="F137" s="34"/>
      <c r="G137" s="34"/>
      <c r="H137" s="34"/>
      <c r="I137" s="35"/>
    </row>
    <row r="138" spans="3:17" ht="14" thickTop="1" thickBot="1" x14ac:dyDescent="0.35">
      <c r="C138" s="122"/>
      <c r="D138" s="71" t="s">
        <v>25</v>
      </c>
      <c r="E138" s="71" t="s">
        <v>37</v>
      </c>
      <c r="F138" s="195" t="s">
        <v>38</v>
      </c>
      <c r="G138" s="195" t="s">
        <v>177</v>
      </c>
      <c r="H138" s="195" t="s">
        <v>178</v>
      </c>
      <c r="I138" s="127" t="s">
        <v>26</v>
      </c>
    </row>
    <row r="139" spans="3:17" ht="14" thickTop="1" thickBot="1" x14ac:dyDescent="0.35">
      <c r="C139" s="70"/>
      <c r="D139" s="71" t="s">
        <v>39</v>
      </c>
      <c r="E139" s="71" t="s">
        <v>39</v>
      </c>
      <c r="F139" s="71" t="s">
        <v>39</v>
      </c>
      <c r="G139" s="71" t="s">
        <v>39</v>
      </c>
      <c r="H139" s="71" t="s">
        <v>39</v>
      </c>
      <c r="I139" s="72" t="s">
        <v>39</v>
      </c>
    </row>
    <row r="140" spans="3:17" ht="31.5" thickTop="1" x14ac:dyDescent="0.35">
      <c r="C140" s="123" t="s">
        <v>23</v>
      </c>
      <c r="D140" s="43">
        <f>SUM('[1]12_13 fleet'!$D$84:$D$97)</f>
        <v>2457469</v>
      </c>
      <c r="E140" s="43">
        <f>SUM('[2]13_14 fleet'!$D$85:$D$98)</f>
        <v>2518750</v>
      </c>
      <c r="F140" s="43">
        <f>SUM('[3]14_15 fleet'!$D$85:$D$98)</f>
        <v>2606033</v>
      </c>
      <c r="G140" s="43">
        <f>SUM('[4]15_16 fleet'!$D$85:$D$98)</f>
        <v>2694419</v>
      </c>
      <c r="H140" s="43">
        <f>SUM('[5]16_17 fleet_v2'!$D$85:$D$98)</f>
        <v>2790334</v>
      </c>
      <c r="I140" s="44">
        <f>SUM('[6]17_18 fleet_v3'!$D$86:$D$99)</f>
        <v>2868568</v>
      </c>
    </row>
    <row r="141" spans="3:17" ht="16" thickBot="1" x14ac:dyDescent="0.4">
      <c r="C141" s="25" t="s">
        <v>97</v>
      </c>
      <c r="D141" s="43">
        <f>'[1]12_13 fleet'!$D$83</f>
        <v>11221</v>
      </c>
      <c r="E141" s="43">
        <f>'[2]13_14 fleet'!$D$84</f>
        <v>11085</v>
      </c>
      <c r="F141" s="43">
        <f>'[3]14_15 fleet'!$D$84</f>
        <v>10936</v>
      </c>
      <c r="G141" s="43">
        <f>'[4]15_16 fleet'!$D$84</f>
        <v>10790</v>
      </c>
      <c r="H141" s="46">
        <f>'[5]16_17 fleet_v2'!$D$84</f>
        <v>10403</v>
      </c>
      <c r="I141" s="47">
        <f>'[6]17_18 fleet_v3'!$D$85</f>
        <v>10438</v>
      </c>
    </row>
    <row r="142" spans="3:17" ht="16.5" thickTop="1" thickBot="1" x14ac:dyDescent="0.4">
      <c r="C142" s="8" t="s">
        <v>98</v>
      </c>
      <c r="D142" s="75">
        <f>D140+D141</f>
        <v>2468690</v>
      </c>
      <c r="E142" s="48">
        <f>E140+E141</f>
        <v>2529835</v>
      </c>
      <c r="F142" s="48">
        <f>F140+F141</f>
        <v>2616969</v>
      </c>
      <c r="G142" s="48">
        <f t="shared" ref="G142:H142" si="22">G140+G141</f>
        <v>2705209</v>
      </c>
      <c r="H142" s="48">
        <f t="shared" si="22"/>
        <v>2800737</v>
      </c>
      <c r="I142" s="49">
        <f t="shared" ref="I142" si="23">I140+I141</f>
        <v>2879006</v>
      </c>
    </row>
    <row r="143" spans="3:17" ht="32" thickTop="1" thickBot="1" x14ac:dyDescent="0.4">
      <c r="C143" s="31" t="s">
        <v>99</v>
      </c>
      <c r="D143" s="46">
        <f>'Car+SUV'!D84</f>
        <v>2468690</v>
      </c>
      <c r="E143" s="46">
        <f>'Car+SUV'!E84</f>
        <v>2529835</v>
      </c>
      <c r="F143" s="46">
        <f>'Car+SUV'!F84</f>
        <v>2616969</v>
      </c>
      <c r="G143" s="46">
        <f>'Car+SUV'!G84</f>
        <v>2705209</v>
      </c>
      <c r="H143" s="46">
        <f>'Car+SUV'!H84</f>
        <v>2800737</v>
      </c>
      <c r="I143" s="47">
        <f>'Car+SUV'!I84</f>
        <v>2879006</v>
      </c>
    </row>
    <row r="144" spans="3:17" ht="16.5" thickTop="1" thickBot="1" x14ac:dyDescent="0.4">
      <c r="C144" s="31" t="s">
        <v>101</v>
      </c>
      <c r="D144" s="124">
        <f>D142/D140</f>
        <v>1.0045660799790352</v>
      </c>
      <c r="E144" s="125">
        <f>E142/E140</f>
        <v>1.0044009925558313</v>
      </c>
      <c r="F144" s="125">
        <f>F142/F140</f>
        <v>1.0041964165457613</v>
      </c>
      <c r="G144" s="125">
        <f t="shared" ref="G144" si="24">G142/G140</f>
        <v>1.0040045738988628</v>
      </c>
      <c r="H144" s="125">
        <f t="shared" ref="H144" si="25">H142/H140</f>
        <v>1.0037282275168493</v>
      </c>
      <c r="I144" s="126">
        <f t="shared" ref="I144" si="26">I142/I140</f>
        <v>1.0036387493690231</v>
      </c>
    </row>
    <row r="145" spans="3:9" ht="13" thickTop="1" x14ac:dyDescent="0.25">
      <c r="I145" s="121"/>
    </row>
    <row r="146" spans="3:9" ht="13" thickBot="1" x14ac:dyDescent="0.3">
      <c r="I146" s="121"/>
    </row>
    <row r="147" spans="3:9" ht="30" customHeight="1" thickTop="1" thickBot="1" x14ac:dyDescent="0.4">
      <c r="C147" s="216" t="s">
        <v>131</v>
      </c>
      <c r="D147" s="217"/>
      <c r="E147" s="217"/>
      <c r="F147" s="217"/>
      <c r="G147" s="34"/>
      <c r="H147" s="34"/>
      <c r="I147" s="35"/>
    </row>
    <row r="148" spans="3:9" ht="14" thickTop="1" thickBot="1" x14ac:dyDescent="0.35">
      <c r="C148" s="122"/>
      <c r="D148" s="71" t="s">
        <v>25</v>
      </c>
      <c r="E148" s="71" t="s">
        <v>37</v>
      </c>
      <c r="F148" s="195" t="s">
        <v>38</v>
      </c>
      <c r="G148" s="195" t="s">
        <v>177</v>
      </c>
      <c r="H148" s="195" t="s">
        <v>178</v>
      </c>
      <c r="I148" s="127" t="s">
        <v>26</v>
      </c>
    </row>
    <row r="149" spans="3:9" ht="14" thickTop="1" thickBot="1" x14ac:dyDescent="0.35">
      <c r="C149" s="70"/>
      <c r="D149" s="71" t="s">
        <v>39</v>
      </c>
      <c r="E149" s="71" t="s">
        <v>39</v>
      </c>
      <c r="F149" s="71" t="s">
        <v>39</v>
      </c>
      <c r="G149" s="71" t="s">
        <v>39</v>
      </c>
      <c r="H149" s="71" t="s">
        <v>39</v>
      </c>
      <c r="I149" s="72" t="s">
        <v>39</v>
      </c>
    </row>
    <row r="150" spans="3:9" ht="31.5" thickTop="1" x14ac:dyDescent="0.35">
      <c r="C150" s="123" t="s">
        <v>23</v>
      </c>
      <c r="D150" s="43">
        <f>SUM('[1]12_13 fleet'!$D$69:$D$82)</f>
        <v>285261</v>
      </c>
      <c r="E150" s="43">
        <f>SUM('[2]13_14 fleet'!$D$70:$D$83)</f>
        <v>295188</v>
      </c>
      <c r="F150" s="43">
        <f>SUM('[3]14_15 fleet'!$D$70:$D$83)</f>
        <v>304787</v>
      </c>
      <c r="G150" s="43">
        <f>SUM('[4]15_16 fleet'!$D$70:$D$83)</f>
        <v>323322</v>
      </c>
      <c r="H150" s="43">
        <f>SUM('[5]16_17 fleet_v2'!$D$70:$D$83)</f>
        <v>343790</v>
      </c>
      <c r="I150" s="44">
        <f>SUM('[6]17_18 fleet_v3'!$D$71:$D$84)</f>
        <v>360735</v>
      </c>
    </row>
    <row r="151" spans="3:9" ht="16" thickBot="1" x14ac:dyDescent="0.4">
      <c r="C151" s="25" t="s">
        <v>97</v>
      </c>
      <c r="D151" s="43">
        <f>'[1]12_13 fleet'!$D$68</f>
        <v>293</v>
      </c>
      <c r="E151" s="43">
        <f>'[2]13_14 fleet'!$D$69</f>
        <v>284</v>
      </c>
      <c r="F151" s="43">
        <f>'[3]14_15 fleet'!$D$69</f>
        <v>266</v>
      </c>
      <c r="G151" s="43">
        <f>'[4]15_16 fleet'!$D$69</f>
        <v>268</v>
      </c>
      <c r="H151" s="43">
        <f>'[5]16_17 fleet_v2'!$D$69</f>
        <v>257</v>
      </c>
      <c r="I151" s="44">
        <f>'[6]17_18 fleet_v3'!$D$70</f>
        <v>312</v>
      </c>
    </row>
    <row r="152" spans="3:9" ht="16.5" thickTop="1" thickBot="1" x14ac:dyDescent="0.4">
      <c r="C152" s="8" t="s">
        <v>98</v>
      </c>
      <c r="D152" s="75">
        <f>D150+D151</f>
        <v>285554</v>
      </c>
      <c r="E152" s="48">
        <f>E150+E151</f>
        <v>295472</v>
      </c>
      <c r="F152" s="48">
        <f>F150+F151</f>
        <v>305053</v>
      </c>
      <c r="G152" s="48">
        <f t="shared" ref="G152:H152" si="27">G150+G151</f>
        <v>323590</v>
      </c>
      <c r="H152" s="48">
        <f t="shared" si="27"/>
        <v>344047</v>
      </c>
      <c r="I152" s="49">
        <f t="shared" ref="I152" si="28">I150+I151</f>
        <v>361047</v>
      </c>
    </row>
    <row r="153" spans="3:9" ht="32" thickTop="1" thickBot="1" x14ac:dyDescent="0.4">
      <c r="C153" s="31" t="s">
        <v>99</v>
      </c>
      <c r="D153" s="46">
        <f>'Car+SUV'!D125</f>
        <v>285554</v>
      </c>
      <c r="E153" s="46">
        <f>'Car+SUV'!E125</f>
        <v>295472</v>
      </c>
      <c r="F153" s="46">
        <f>'Car+SUV'!F125</f>
        <v>305053</v>
      </c>
      <c r="G153" s="46">
        <f>'Car+SUV'!G125</f>
        <v>323590</v>
      </c>
      <c r="H153" s="46">
        <f>'Car+SUV'!H125</f>
        <v>344047</v>
      </c>
      <c r="I153" s="47">
        <f>'Car+SUV'!I125</f>
        <v>361047</v>
      </c>
    </row>
    <row r="154" spans="3:9" ht="16.5" thickTop="1" thickBot="1" x14ac:dyDescent="0.4">
      <c r="C154" s="31" t="s">
        <v>101</v>
      </c>
      <c r="D154" s="124">
        <f>D152/D150</f>
        <v>1.0010271295410169</v>
      </c>
      <c r="E154" s="125">
        <f>E152/E150</f>
        <v>1.0009620987303007</v>
      </c>
      <c r="F154" s="125">
        <f>F152/F150</f>
        <v>1.0008727406352633</v>
      </c>
      <c r="G154" s="125">
        <f t="shared" ref="G154:H154" si="29">G152/G150</f>
        <v>1.0008288950334341</v>
      </c>
      <c r="H154" s="125">
        <f t="shared" si="29"/>
        <v>1.0007475493760727</v>
      </c>
      <c r="I154" s="126">
        <f t="shared" ref="I154" si="30">I152/I150</f>
        <v>1.0008649008274773</v>
      </c>
    </row>
    <row r="155" spans="3:9" ht="13" thickTop="1" x14ac:dyDescent="0.25">
      <c r="I155" s="121"/>
    </row>
    <row r="156" spans="3:9" ht="13" thickBot="1" x14ac:dyDescent="0.3">
      <c r="I156" s="121"/>
    </row>
    <row r="157" spans="3:9" ht="16.5" thickTop="1" thickBot="1" x14ac:dyDescent="0.4">
      <c r="C157" s="32" t="s">
        <v>132</v>
      </c>
      <c r="D157" s="34"/>
      <c r="E157" s="34"/>
      <c r="F157" s="34"/>
      <c r="G157" s="34"/>
      <c r="H157" s="34"/>
      <c r="I157" s="35"/>
    </row>
    <row r="158" spans="3:9" ht="14" thickTop="1" thickBot="1" x14ac:dyDescent="0.35">
      <c r="C158" s="122"/>
      <c r="D158" s="71" t="s">
        <v>25</v>
      </c>
      <c r="E158" s="71" t="s">
        <v>37</v>
      </c>
      <c r="F158" s="195" t="s">
        <v>38</v>
      </c>
      <c r="G158" s="195" t="s">
        <v>177</v>
      </c>
      <c r="H158" s="195" t="s">
        <v>178</v>
      </c>
      <c r="I158" s="127" t="s">
        <v>26</v>
      </c>
    </row>
    <row r="159" spans="3:9" ht="14" thickTop="1" thickBot="1" x14ac:dyDescent="0.35">
      <c r="C159" s="70"/>
      <c r="D159" s="71" t="s">
        <v>39</v>
      </c>
      <c r="E159" s="71" t="s">
        <v>39</v>
      </c>
      <c r="F159" s="71" t="s">
        <v>39</v>
      </c>
      <c r="G159" s="71" t="s">
        <v>39</v>
      </c>
      <c r="H159" s="71" t="s">
        <v>39</v>
      </c>
      <c r="I159" s="72" t="s">
        <v>39</v>
      </c>
    </row>
    <row r="160" spans="3:9" ht="31.5" thickTop="1" x14ac:dyDescent="0.35">
      <c r="C160" s="123" t="s">
        <v>23</v>
      </c>
      <c r="D160" s="43">
        <f>SUM('[1]12_13 fleet'!$D$39:$D$52)+SUM('[1]12_13 fleet'!$D$54:$D$67)</f>
        <v>7811</v>
      </c>
      <c r="E160" s="43">
        <f>SUM('[2]13_14 fleet'!$D$40:$D$53)+SUM('[2]13_14 fleet'!$D$55:$D$68)</f>
        <v>7936</v>
      </c>
      <c r="F160" s="43">
        <f>SUM('[3]14_15 fleet'!$D$40:$D$53)+SUM('[3]14_15 fleet'!$D$55:$D$68)</f>
        <v>8488</v>
      </c>
      <c r="G160" s="43">
        <f>SUM('[4]15_16 fleet'!$D$40:$D$53)+SUM('[4]15_16 fleet'!$D$55:$D$68)</f>
        <v>9861</v>
      </c>
      <c r="H160" s="43">
        <f>SUM('[5]16_17 fleet_v2'!$D$40:$D$53)+SUM('[5]16_17 fleet_v2'!$D$55:$D$68)</f>
        <v>10348</v>
      </c>
      <c r="I160" s="44">
        <f>SUM('[6]17_18 fleet_v3'!$D$41:$D$54)+SUM('[6]17_18 fleet_v3'!$D$56:$D$69)</f>
        <v>16175</v>
      </c>
    </row>
    <row r="161" spans="3:9" ht="16" thickBot="1" x14ac:dyDescent="0.4">
      <c r="C161" s="25" t="s">
        <v>97</v>
      </c>
      <c r="D161" s="43">
        <f>'[1]12_13 fleet'!$D$38+'[1]12_13 fleet'!$D$53</f>
        <v>2</v>
      </c>
      <c r="E161" s="43">
        <f>'[2]13_14 fleet'!$D$39+'[2]13_14 fleet'!$D$54</f>
        <v>2</v>
      </c>
      <c r="F161" s="43">
        <f>'[3]14_15 fleet'!$D$39+'[3]14_15 fleet'!$D$54</f>
        <v>2</v>
      </c>
      <c r="G161" s="43">
        <f>'[4]15_16 fleet'!$D$39+'[4]15_16 fleet'!$D$54</f>
        <v>2</v>
      </c>
      <c r="H161" s="43">
        <f>'[5]16_17 fleet_v2'!$D$39+'[5]16_17 fleet_v2'!$D$54</f>
        <v>2</v>
      </c>
      <c r="I161" s="44">
        <f>'[6]17_18 fleet_v3'!$D$40+'[6]17_18 fleet_v3'!$D$55</f>
        <v>2</v>
      </c>
    </row>
    <row r="162" spans="3:9" ht="16.5" thickTop="1" thickBot="1" x14ac:dyDescent="0.4">
      <c r="C162" s="8" t="s">
        <v>98</v>
      </c>
      <c r="D162" s="75">
        <f>D160+D161</f>
        <v>7813</v>
      </c>
      <c r="E162" s="48">
        <f>E160+E161</f>
        <v>7938</v>
      </c>
      <c r="F162" s="48">
        <f>F160+F161</f>
        <v>8490</v>
      </c>
      <c r="G162" s="48">
        <f t="shared" ref="G162:H162" si="31">G160+G161</f>
        <v>9863</v>
      </c>
      <c r="H162" s="48">
        <f t="shared" si="31"/>
        <v>10350</v>
      </c>
      <c r="I162" s="49">
        <f t="shared" ref="I162" si="32">I160+I161</f>
        <v>16177</v>
      </c>
    </row>
    <row r="163" spans="3:9" ht="32" thickTop="1" thickBot="1" x14ac:dyDescent="0.4">
      <c r="C163" s="31" t="s">
        <v>99</v>
      </c>
      <c r="D163" s="46">
        <f>'Car+SUV'!D166</f>
        <v>7813</v>
      </c>
      <c r="E163" s="46">
        <f>'Car+SUV'!E166</f>
        <v>7938</v>
      </c>
      <c r="F163" s="46">
        <f>'Car+SUV'!F166</f>
        <v>8490</v>
      </c>
      <c r="G163" s="46">
        <f>'Car+SUV'!G166</f>
        <v>9863</v>
      </c>
      <c r="H163" s="46">
        <f>'Car+SUV'!H166</f>
        <v>10350</v>
      </c>
      <c r="I163" s="47">
        <f>'Car+SUV'!I166</f>
        <v>16177</v>
      </c>
    </row>
    <row r="164" spans="3:9" ht="16.5" thickTop="1" thickBot="1" x14ac:dyDescent="0.4">
      <c r="C164" s="31" t="s">
        <v>101</v>
      </c>
      <c r="D164" s="124">
        <f>D162/D160</f>
        <v>1.000256049161439</v>
      </c>
      <c r="E164" s="125">
        <f>E162/E160</f>
        <v>1.0002520161290323</v>
      </c>
      <c r="F164" s="125">
        <f>F162/F160</f>
        <v>1.0002356267672008</v>
      </c>
      <c r="G164" s="125">
        <f t="shared" ref="G164" si="33">G162/G160</f>
        <v>1.000202819186695</v>
      </c>
      <c r="H164" s="125">
        <f t="shared" ref="H164" si="34">H162/H160</f>
        <v>1.0001932740626207</v>
      </c>
      <c r="I164" s="126">
        <f t="shared" ref="I164" si="35">I162/I160</f>
        <v>1.0001236476043276</v>
      </c>
    </row>
    <row r="165" spans="3:9" ht="13" thickTop="1" x14ac:dyDescent="0.25">
      <c r="I165" s="121"/>
    </row>
    <row r="166" spans="3:9" ht="13" thickBot="1" x14ac:dyDescent="0.3">
      <c r="I166" s="121"/>
    </row>
    <row r="167" spans="3:9" ht="16.5" thickTop="1" thickBot="1" x14ac:dyDescent="0.4">
      <c r="C167" s="32" t="s">
        <v>106</v>
      </c>
      <c r="D167" s="34"/>
      <c r="E167" s="34"/>
      <c r="F167" s="34"/>
      <c r="G167" s="34"/>
      <c r="H167" s="34"/>
      <c r="I167" s="35"/>
    </row>
    <row r="168" spans="3:9" ht="14" thickTop="1" thickBot="1" x14ac:dyDescent="0.35">
      <c r="C168" s="122"/>
      <c r="D168" s="71" t="s">
        <v>25</v>
      </c>
      <c r="E168" s="71" t="s">
        <v>37</v>
      </c>
      <c r="F168" s="195" t="s">
        <v>38</v>
      </c>
      <c r="G168" s="195" t="s">
        <v>177</v>
      </c>
      <c r="H168" s="195" t="s">
        <v>178</v>
      </c>
      <c r="I168" s="127" t="s">
        <v>26</v>
      </c>
    </row>
    <row r="169" spans="3:9" ht="14" thickTop="1" thickBot="1" x14ac:dyDescent="0.35">
      <c r="C169" s="70"/>
      <c r="D169" s="71" t="s">
        <v>39</v>
      </c>
      <c r="E169" s="71" t="s">
        <v>39</v>
      </c>
      <c r="F169" s="71" t="s">
        <v>39</v>
      </c>
      <c r="G169" s="71" t="s">
        <v>39</v>
      </c>
      <c r="H169" s="71" t="s">
        <v>39</v>
      </c>
      <c r="I169" s="72" t="s">
        <v>39</v>
      </c>
    </row>
    <row r="170" spans="3:9" ht="31.5" thickTop="1" x14ac:dyDescent="0.35">
      <c r="C170" s="123" t="s">
        <v>23</v>
      </c>
      <c r="D170" s="43">
        <f>SUM('[1]12_13 fleet'!$D$204:$D$217)</f>
        <v>267735</v>
      </c>
      <c r="E170" s="43">
        <f>SUM('[2]13_14 fleet'!$D$205:$D$218)</f>
        <v>278591</v>
      </c>
      <c r="F170" s="43">
        <f>SUM('[3]14_15 fleet'!$D$205:$D$218)</f>
        <v>292669</v>
      </c>
      <c r="G170" s="43">
        <f>SUM('[4]15_16 fleet'!$D$205:$D$218)</f>
        <v>310165</v>
      </c>
      <c r="H170" s="43">
        <f>SUM('[5]16_17 fleet_v2'!$D$205:$D$218)</f>
        <v>331410</v>
      </c>
      <c r="I170" s="44">
        <f>SUM('[6]17_18 fleet_v3'!$D$206:$D$219)</f>
        <v>353090</v>
      </c>
    </row>
    <row r="171" spans="3:9" ht="16" thickBot="1" x14ac:dyDescent="0.4">
      <c r="C171" s="25" t="s">
        <v>97</v>
      </c>
      <c r="D171" s="43">
        <f>'[1]12_13 fleet'!$D$203</f>
        <v>1984</v>
      </c>
      <c r="E171" s="43">
        <f>'[2]13_14 fleet'!$D$204</f>
        <v>1946</v>
      </c>
      <c r="F171" s="43">
        <f>'[3]14_15 fleet'!$D$204</f>
        <v>1887</v>
      </c>
      <c r="G171" s="43">
        <f>'[4]15_16 fleet'!$D$204</f>
        <v>1846</v>
      </c>
      <c r="H171" s="43">
        <f>'[5]16_17 fleet_v2'!$D$204</f>
        <v>1761</v>
      </c>
      <c r="I171" s="44">
        <f>'[6]17_18 fleet_v3'!$D$205</f>
        <v>1755</v>
      </c>
    </row>
    <row r="172" spans="3:9" ht="16.5" thickTop="1" thickBot="1" x14ac:dyDescent="0.4">
      <c r="C172" s="8" t="s">
        <v>98</v>
      </c>
      <c r="D172" s="75">
        <f t="shared" ref="D172:I172" si="36">D170+D171</f>
        <v>269719</v>
      </c>
      <c r="E172" s="48">
        <f t="shared" si="36"/>
        <v>280537</v>
      </c>
      <c r="F172" s="48">
        <f t="shared" si="36"/>
        <v>294556</v>
      </c>
      <c r="G172" s="48">
        <f t="shared" si="36"/>
        <v>312011</v>
      </c>
      <c r="H172" s="48">
        <f t="shared" si="36"/>
        <v>333171</v>
      </c>
      <c r="I172" s="49">
        <f t="shared" si="36"/>
        <v>354845</v>
      </c>
    </row>
    <row r="173" spans="3:9" ht="32" thickTop="1" thickBot="1" x14ac:dyDescent="0.4">
      <c r="C173" s="31" t="s">
        <v>99</v>
      </c>
      <c r="D173" s="46">
        <f>'Van+Ute'!D84</f>
        <v>269719</v>
      </c>
      <c r="E173" s="46">
        <f>'Van+Ute'!E84</f>
        <v>280537</v>
      </c>
      <c r="F173" s="46">
        <f>'Van+Ute'!F84</f>
        <v>294556</v>
      </c>
      <c r="G173" s="46">
        <f>'Van+Ute'!G84</f>
        <v>312011</v>
      </c>
      <c r="H173" s="46">
        <f>'Van+Ute'!H84</f>
        <v>333171</v>
      </c>
      <c r="I173" s="47">
        <f>'Van+Ute'!I84</f>
        <v>354845</v>
      </c>
    </row>
    <row r="174" spans="3:9" ht="16.5" thickTop="1" thickBot="1" x14ac:dyDescent="0.4">
      <c r="C174" s="31" t="s">
        <v>101</v>
      </c>
      <c r="D174" s="124">
        <f t="shared" ref="D174:I174" si="37">D172/D170</f>
        <v>1.007410312435804</v>
      </c>
      <c r="E174" s="125">
        <f t="shared" si="37"/>
        <v>1.0069851502740577</v>
      </c>
      <c r="F174" s="125">
        <f t="shared" si="37"/>
        <v>1.0064475567962443</v>
      </c>
      <c r="G174" s="125">
        <f t="shared" si="37"/>
        <v>1.0059516708848517</v>
      </c>
      <c r="H174" s="125">
        <f t="shared" si="37"/>
        <v>1.0053136598171448</v>
      </c>
      <c r="I174" s="126">
        <f t="shared" si="37"/>
        <v>1.0049704041462517</v>
      </c>
    </row>
    <row r="175" spans="3:9" ht="13" thickTop="1" x14ac:dyDescent="0.25">
      <c r="I175" s="121"/>
    </row>
    <row r="176" spans="3:9" ht="13" thickBot="1" x14ac:dyDescent="0.3">
      <c r="I176" s="121"/>
    </row>
    <row r="177" spans="3:9" ht="30" customHeight="1" thickTop="1" thickBot="1" x14ac:dyDescent="0.4">
      <c r="C177" s="216" t="s">
        <v>129</v>
      </c>
      <c r="D177" s="217"/>
      <c r="E177" s="217"/>
      <c r="F177" s="217"/>
      <c r="G177" s="34"/>
      <c r="H177" s="34"/>
      <c r="I177" s="35"/>
    </row>
    <row r="178" spans="3:9" ht="14" thickTop="1" thickBot="1" x14ac:dyDescent="0.35">
      <c r="C178" s="122"/>
      <c r="D178" s="71" t="s">
        <v>25</v>
      </c>
      <c r="E178" s="71" t="s">
        <v>37</v>
      </c>
      <c r="F178" s="195" t="s">
        <v>38</v>
      </c>
      <c r="G178" s="195" t="s">
        <v>177</v>
      </c>
      <c r="H178" s="195" t="s">
        <v>178</v>
      </c>
      <c r="I178" s="127" t="s">
        <v>26</v>
      </c>
    </row>
    <row r="179" spans="3:9" ht="14" thickTop="1" thickBot="1" x14ac:dyDescent="0.35">
      <c r="C179" s="70"/>
      <c r="D179" s="71" t="s">
        <v>39</v>
      </c>
      <c r="E179" s="71" t="s">
        <v>39</v>
      </c>
      <c r="F179" s="71" t="s">
        <v>39</v>
      </c>
      <c r="G179" s="71" t="s">
        <v>39</v>
      </c>
      <c r="H179" s="71" t="s">
        <v>39</v>
      </c>
      <c r="I179" s="72" t="s">
        <v>39</v>
      </c>
    </row>
    <row r="180" spans="3:9" ht="31.5" thickTop="1" x14ac:dyDescent="0.35">
      <c r="C180" s="123" t="s">
        <v>23</v>
      </c>
      <c r="D180" s="43">
        <f>SUM('[1]12_13 fleet'!$D$189:$D$202)</f>
        <v>165477</v>
      </c>
      <c r="E180" s="43">
        <f>SUM('[2]13_14 fleet'!$D$190:$D$203)</f>
        <v>177521</v>
      </c>
      <c r="F180" s="43">
        <f>SUM('[3]14_15 fleet'!$D$190:$D$203)</f>
        <v>191333</v>
      </c>
      <c r="G180" s="43">
        <f>SUM('[4]15_16 fleet'!$D$190:$D$203)</f>
        <v>206964</v>
      </c>
      <c r="H180" s="43">
        <f>SUM('[5]16_17 fleet_v2'!$D$190:$D$203)</f>
        <v>226551</v>
      </c>
      <c r="I180" s="44">
        <f>SUM('[6]17_18 fleet_v3'!$D$191:$D$204)</f>
        <v>244552</v>
      </c>
    </row>
    <row r="181" spans="3:9" ht="16" thickBot="1" x14ac:dyDescent="0.4">
      <c r="C181" s="25" t="s">
        <v>97</v>
      </c>
      <c r="D181" s="43">
        <f>'[1]12_13 fleet'!$D$188</f>
        <v>134</v>
      </c>
      <c r="E181" s="43">
        <f>'[2]13_14 fleet'!$D$189</f>
        <v>128</v>
      </c>
      <c r="F181" s="43">
        <f>'[3]14_15 fleet'!$D$189</f>
        <v>120</v>
      </c>
      <c r="G181" s="43">
        <f>'[4]15_16 fleet'!$D$189</f>
        <v>125</v>
      </c>
      <c r="H181" s="43">
        <f>'[5]16_17 fleet_v2'!$D$189</f>
        <v>121</v>
      </c>
      <c r="I181" s="44">
        <f>'[6]17_18 fleet_v3'!$D$190</f>
        <v>136</v>
      </c>
    </row>
    <row r="182" spans="3:9" ht="16.5" thickTop="1" thickBot="1" x14ac:dyDescent="0.4">
      <c r="C182" s="8" t="s">
        <v>98</v>
      </c>
      <c r="D182" s="75">
        <f t="shared" ref="D182:I182" si="38">D180+D181</f>
        <v>165611</v>
      </c>
      <c r="E182" s="48">
        <f t="shared" si="38"/>
        <v>177649</v>
      </c>
      <c r="F182" s="48">
        <f t="shared" si="38"/>
        <v>191453</v>
      </c>
      <c r="G182" s="48">
        <f t="shared" si="38"/>
        <v>207089</v>
      </c>
      <c r="H182" s="48">
        <f t="shared" si="38"/>
        <v>226672</v>
      </c>
      <c r="I182" s="49">
        <f t="shared" si="38"/>
        <v>244688</v>
      </c>
    </row>
    <row r="183" spans="3:9" ht="32" thickTop="1" thickBot="1" x14ac:dyDescent="0.4">
      <c r="C183" s="31" t="s">
        <v>99</v>
      </c>
      <c r="D183" s="46">
        <f>'Van+Ute'!D125</f>
        <v>165611</v>
      </c>
      <c r="E183" s="46">
        <f>'Van+Ute'!E125</f>
        <v>177649</v>
      </c>
      <c r="F183" s="46">
        <f>'Van+Ute'!F125</f>
        <v>191453</v>
      </c>
      <c r="G183" s="46">
        <f>'Van+Ute'!G125</f>
        <v>207089</v>
      </c>
      <c r="H183" s="46">
        <f>'Van+Ute'!H125</f>
        <v>226672</v>
      </c>
      <c r="I183" s="47">
        <f>'Van+Ute'!I125</f>
        <v>244688</v>
      </c>
    </row>
    <row r="184" spans="3:9" ht="16.5" thickTop="1" thickBot="1" x14ac:dyDescent="0.4">
      <c r="C184" s="31" t="s">
        <v>101</v>
      </c>
      <c r="D184" s="124">
        <f t="shared" ref="D184:I184" si="39">D182/D180</f>
        <v>1.0008097802111471</v>
      </c>
      <c r="E184" s="125">
        <f t="shared" si="39"/>
        <v>1.0007210414542504</v>
      </c>
      <c r="F184" s="125">
        <f t="shared" si="39"/>
        <v>1.0006271787929943</v>
      </c>
      <c r="G184" s="125">
        <f t="shared" si="39"/>
        <v>1.0006039697725209</v>
      </c>
      <c r="H184" s="125">
        <f t="shared" si="39"/>
        <v>1.0005340960754974</v>
      </c>
      <c r="I184" s="126">
        <f t="shared" si="39"/>
        <v>1.0005561189440282</v>
      </c>
    </row>
    <row r="185" spans="3:9" ht="13" thickTop="1" x14ac:dyDescent="0.25">
      <c r="I185" s="121"/>
    </row>
    <row r="186" spans="3:9" ht="13" thickBot="1" x14ac:dyDescent="0.3">
      <c r="I186" s="121"/>
    </row>
    <row r="187" spans="3:9" ht="14.5" thickTop="1" thickBot="1" x14ac:dyDescent="0.4">
      <c r="C187" s="216" t="s">
        <v>130</v>
      </c>
      <c r="D187" s="217"/>
      <c r="E187" s="217"/>
      <c r="F187" s="217"/>
      <c r="G187" s="34"/>
      <c r="H187" s="34"/>
      <c r="I187" s="35"/>
    </row>
    <row r="188" spans="3:9" ht="14" thickTop="1" thickBot="1" x14ac:dyDescent="0.35">
      <c r="C188" s="122"/>
      <c r="D188" s="71" t="s">
        <v>25</v>
      </c>
      <c r="E188" s="71" t="s">
        <v>37</v>
      </c>
      <c r="F188" s="195" t="s">
        <v>38</v>
      </c>
      <c r="G188" s="195" t="s">
        <v>177</v>
      </c>
      <c r="H188" s="195" t="s">
        <v>178</v>
      </c>
      <c r="I188" s="127" t="s">
        <v>26</v>
      </c>
    </row>
    <row r="189" spans="3:9" ht="14" thickTop="1" thickBot="1" x14ac:dyDescent="0.35">
      <c r="C189" s="70"/>
      <c r="D189" s="71" t="s">
        <v>39</v>
      </c>
      <c r="E189" s="71" t="s">
        <v>39</v>
      </c>
      <c r="F189" s="71" t="s">
        <v>39</v>
      </c>
      <c r="G189" s="71" t="s">
        <v>39</v>
      </c>
      <c r="H189" s="71" t="s">
        <v>39</v>
      </c>
      <c r="I189" s="72" t="s">
        <v>39</v>
      </c>
    </row>
    <row r="190" spans="3:9" ht="31.5" thickTop="1" x14ac:dyDescent="0.35">
      <c r="C190" s="123" t="s">
        <v>23</v>
      </c>
      <c r="D190" s="43">
        <f>SUM('[1]12_13 fleet'!$D$159:$D$172)+SUM('[1]12_13 fleet'!$D$174:$D$187)</f>
        <v>2433</v>
      </c>
      <c r="E190" s="43">
        <f>SUM('[2]13_14 fleet'!$D$160:$D$173)+SUM('[2]13_14 fleet'!$D$175:$D$188)</f>
        <v>2426</v>
      </c>
      <c r="F190" s="43">
        <f>SUM('[3]14_15 fleet'!$D$160:$D$173)+SUM('[3]14_15 fleet'!$D$175:$D$188)</f>
        <v>2514</v>
      </c>
      <c r="G190" s="43">
        <f>SUM('[4]15_16 fleet'!$D$160:$D$173)+SUM('[4]15_16 fleet'!$D$175:$D$188)</f>
        <v>2607</v>
      </c>
      <c r="H190" s="43">
        <f>SUM('[5]16_17 fleet_v2'!$D$160:$D$173)+SUM('[5]16_17 fleet_v2'!$D$175:$D$188)</f>
        <v>2927</v>
      </c>
      <c r="I190" s="44">
        <f>SUM('[6]17_18 fleet_v3'!$D$161:$D$174)+SUM('[6]17_18 fleet_v3'!$D$176:$D$189)</f>
        <v>3118</v>
      </c>
    </row>
    <row r="191" spans="3:9" ht="16" thickBot="1" x14ac:dyDescent="0.4">
      <c r="C191" s="25" t="s">
        <v>97</v>
      </c>
      <c r="D191" s="43">
        <f>'[1]12_13 fleet'!$D$158+'[1]12_13 fleet'!$D$173</f>
        <v>0</v>
      </c>
      <c r="E191" s="43">
        <f>'[2]13_14 fleet'!$D$159+'[2]13_14 fleet'!$D$174</f>
        <v>0</v>
      </c>
      <c r="F191" s="43">
        <f>'[3]14_15 fleet'!$D$159+'[3]14_15 fleet'!$D$174</f>
        <v>0</v>
      </c>
      <c r="G191" s="43">
        <f>'[4]15_16 fleet'!$D$159+'[4]15_16 fleet'!$D$174</f>
        <v>0</v>
      </c>
      <c r="H191" s="43">
        <f>'[5]16_17 fleet_v2'!$D$159+'[5]16_17 fleet_v2'!$D$174</f>
        <v>0</v>
      </c>
      <c r="I191" s="44">
        <f>'[6]17_18 fleet_v3'!$D$160+'[6]17_18 fleet_v3'!$D$175</f>
        <v>0</v>
      </c>
    </row>
    <row r="192" spans="3:9" ht="16.5" thickTop="1" thickBot="1" x14ac:dyDescent="0.4">
      <c r="C192" s="8" t="s">
        <v>98</v>
      </c>
      <c r="D192" s="75">
        <f t="shared" ref="D192:I192" si="40">D190+D191</f>
        <v>2433</v>
      </c>
      <c r="E192" s="48">
        <f t="shared" si="40"/>
        <v>2426</v>
      </c>
      <c r="F192" s="48">
        <f t="shared" si="40"/>
        <v>2514</v>
      </c>
      <c r="G192" s="48">
        <f t="shared" si="40"/>
        <v>2607</v>
      </c>
      <c r="H192" s="48">
        <f t="shared" si="40"/>
        <v>2927</v>
      </c>
      <c r="I192" s="49">
        <f t="shared" si="40"/>
        <v>3118</v>
      </c>
    </row>
    <row r="193" spans="3:9" ht="32" thickTop="1" thickBot="1" x14ac:dyDescent="0.4">
      <c r="C193" s="31" t="s">
        <v>99</v>
      </c>
      <c r="D193" s="46">
        <f>'Van+Ute'!D166</f>
        <v>2433</v>
      </c>
      <c r="E193" s="46">
        <f>'Van+Ute'!E166</f>
        <v>2426</v>
      </c>
      <c r="F193" s="46">
        <f>'Van+Ute'!F166</f>
        <v>2514</v>
      </c>
      <c r="G193" s="46">
        <f>'Van+Ute'!G166</f>
        <v>2607</v>
      </c>
      <c r="H193" s="46">
        <f>'Van+Ute'!H166</f>
        <v>2927</v>
      </c>
      <c r="I193" s="47">
        <f>'Van+Ute'!I166</f>
        <v>3118</v>
      </c>
    </row>
    <row r="194" spans="3:9" ht="16.5" thickTop="1" thickBot="1" x14ac:dyDescent="0.4">
      <c r="C194" s="31" t="s">
        <v>101</v>
      </c>
      <c r="D194" s="124">
        <f t="shared" ref="D194:I194" si="41">D192/D190</f>
        <v>1</v>
      </c>
      <c r="E194" s="125">
        <f t="shared" si="41"/>
        <v>1</v>
      </c>
      <c r="F194" s="125">
        <f t="shared" si="41"/>
        <v>1</v>
      </c>
      <c r="G194" s="125">
        <f t="shared" si="41"/>
        <v>1</v>
      </c>
      <c r="H194" s="125">
        <f t="shared" si="41"/>
        <v>1</v>
      </c>
      <c r="I194" s="126">
        <f t="shared" si="41"/>
        <v>1</v>
      </c>
    </row>
    <row r="195" spans="3:9" ht="13" thickTop="1" x14ac:dyDescent="0.25"/>
  </sheetData>
  <mergeCells count="3">
    <mergeCell ref="C147:F147"/>
    <mergeCell ref="C177:F177"/>
    <mergeCell ref="C187:F18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2:AH120"/>
  <sheetViews>
    <sheetView topLeftCell="A51" zoomScale="90" zoomScaleNormal="90" workbookViewId="0">
      <selection activeCell="AD11" sqref="AD11"/>
    </sheetView>
  </sheetViews>
  <sheetFormatPr defaultRowHeight="12.5" x14ac:dyDescent="0.25"/>
  <cols>
    <col min="3" max="3" width="27.81640625" customWidth="1"/>
    <col min="4" max="17" width="17.81640625" customWidth="1"/>
    <col min="18" max="18" width="27.81640625" customWidth="1"/>
    <col min="19" max="34" width="17.81640625" customWidth="1"/>
  </cols>
  <sheetData>
    <row r="2" spans="3:34" ht="13" thickBot="1" x14ac:dyDescent="0.3"/>
    <row r="3" spans="3:34" ht="16" thickTop="1" x14ac:dyDescent="0.35">
      <c r="C3" s="32" t="s">
        <v>169</v>
      </c>
      <c r="D3" s="34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  <c r="T3" s="32" t="s">
        <v>168</v>
      </c>
      <c r="U3" s="34"/>
      <c r="V3" s="33"/>
      <c r="W3" s="33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5"/>
    </row>
    <row r="4" spans="3:34" ht="13.5" thickBot="1" x14ac:dyDescent="0.35">
      <c r="C4" s="18"/>
      <c r="D4" s="65" t="s">
        <v>25</v>
      </c>
      <c r="E4" s="65" t="s">
        <v>37</v>
      </c>
      <c r="F4" s="65" t="s">
        <v>38</v>
      </c>
      <c r="G4" s="37" t="s">
        <v>177</v>
      </c>
      <c r="H4" s="37" t="s">
        <v>178</v>
      </c>
      <c r="I4" s="65" t="s">
        <v>26</v>
      </c>
      <c r="J4" s="65" t="s">
        <v>27</v>
      </c>
      <c r="K4" s="65" t="s">
        <v>28</v>
      </c>
      <c r="L4" s="65" t="s">
        <v>29</v>
      </c>
      <c r="M4" s="65" t="s">
        <v>30</v>
      </c>
      <c r="N4" s="65" t="s">
        <v>31</v>
      </c>
      <c r="O4" s="37" t="s">
        <v>174</v>
      </c>
      <c r="P4" s="37" t="s">
        <v>175</v>
      </c>
      <c r="Q4" s="38" t="s">
        <v>176</v>
      </c>
      <c r="T4" s="18"/>
      <c r="U4" s="65" t="s">
        <v>25</v>
      </c>
      <c r="V4" s="65" t="s">
        <v>37</v>
      </c>
      <c r="W4" s="65" t="s">
        <v>38</v>
      </c>
      <c r="X4" s="37" t="s">
        <v>177</v>
      </c>
      <c r="Y4" s="37" t="s">
        <v>178</v>
      </c>
      <c r="Z4" s="65" t="s">
        <v>26</v>
      </c>
      <c r="AA4" s="65" t="s">
        <v>27</v>
      </c>
      <c r="AB4" s="65" t="s">
        <v>28</v>
      </c>
      <c r="AC4" s="65" t="s">
        <v>29</v>
      </c>
      <c r="AD4" s="65" t="s">
        <v>30</v>
      </c>
      <c r="AE4" s="65" t="s">
        <v>31</v>
      </c>
      <c r="AF4" s="37" t="s">
        <v>174</v>
      </c>
      <c r="AG4" s="37" t="s">
        <v>175</v>
      </c>
      <c r="AH4" s="38" t="s">
        <v>176</v>
      </c>
    </row>
    <row r="5" spans="3:34" ht="14" thickTop="1" thickBot="1" x14ac:dyDescent="0.35">
      <c r="C5" s="70"/>
      <c r="D5" s="71" t="s">
        <v>39</v>
      </c>
      <c r="E5" s="71" t="s">
        <v>32</v>
      </c>
      <c r="F5" s="71" t="s">
        <v>32</v>
      </c>
      <c r="G5" s="71" t="s">
        <v>32</v>
      </c>
      <c r="H5" s="71" t="s">
        <v>32</v>
      </c>
      <c r="I5" s="71" t="s">
        <v>32</v>
      </c>
      <c r="J5" s="71" t="s">
        <v>32</v>
      </c>
      <c r="K5" s="71" t="s">
        <v>32</v>
      </c>
      <c r="L5" s="71" t="s">
        <v>32</v>
      </c>
      <c r="M5" s="71" t="s">
        <v>32</v>
      </c>
      <c r="N5" s="71" t="s">
        <v>32</v>
      </c>
      <c r="O5" s="65" t="s">
        <v>32</v>
      </c>
      <c r="P5" s="65" t="s">
        <v>32</v>
      </c>
      <c r="Q5" s="66" t="s">
        <v>32</v>
      </c>
      <c r="T5" s="70"/>
      <c r="U5" s="71" t="s">
        <v>39</v>
      </c>
      <c r="V5" s="71" t="s">
        <v>32</v>
      </c>
      <c r="W5" s="71" t="s">
        <v>32</v>
      </c>
      <c r="X5" s="71" t="s">
        <v>32</v>
      </c>
      <c r="Y5" s="71" t="s">
        <v>32</v>
      </c>
      <c r="Z5" s="71" t="s">
        <v>32</v>
      </c>
      <c r="AA5" s="71" t="s">
        <v>32</v>
      </c>
      <c r="AB5" s="71" t="s">
        <v>32</v>
      </c>
      <c r="AC5" s="71" t="s">
        <v>32</v>
      </c>
      <c r="AD5" s="71" t="s">
        <v>32</v>
      </c>
      <c r="AE5" s="71" t="s">
        <v>32</v>
      </c>
      <c r="AF5" s="65" t="s">
        <v>32</v>
      </c>
      <c r="AG5" s="65" t="s">
        <v>32</v>
      </c>
      <c r="AH5" s="66" t="s">
        <v>32</v>
      </c>
    </row>
    <row r="6" spans="3:34" ht="16" thickTop="1" x14ac:dyDescent="0.35">
      <c r="C6" s="24" t="s">
        <v>0</v>
      </c>
      <c r="D6" s="39">
        <f>'[9]Formatted Vehicle Summary'!$C$3</f>
        <v>104978.65624</v>
      </c>
      <c r="E6" s="40">
        <f t="shared" ref="E6:E19" si="0">D6*4/5 + I6/5</f>
        <v>107520.60237328787</v>
      </c>
      <c r="F6" s="40">
        <f t="shared" ref="F6:F19" si="1">D6*3/5+I6*2/5</f>
        <v>110062.54850657572</v>
      </c>
      <c r="G6" s="40">
        <f>D6*2/5+I6*3/5</f>
        <v>112604.49463986358</v>
      </c>
      <c r="H6" s="40">
        <f>D6*1/5+I6*4/5</f>
        <v>115146.44077315144</v>
      </c>
      <c r="I6" s="40">
        <f>Z6*[10]Population!I25/[11]Population!T4</f>
        <v>117688.38690643929</v>
      </c>
      <c r="J6" s="40">
        <f>AA6*[10]Population!J25/[11]Population!U4</f>
        <v>127006.25357483141</v>
      </c>
      <c r="K6" s="40">
        <f>AB6*[10]Population!K25/[11]Population!V4</f>
        <v>134253.55953355369</v>
      </c>
      <c r="L6" s="40">
        <f>AC6*[10]Population!L25/[11]Population!W4</f>
        <v>140629.91923398722</v>
      </c>
      <c r="M6" s="40">
        <f>AD6*[10]Population!M25/[11]Population!X4</f>
        <v>145598.40679119425</v>
      </c>
      <c r="N6" s="40">
        <f>AE6*[10]Population!$N25/[11]Population!$Y4</f>
        <v>150554.65946748192</v>
      </c>
      <c r="O6" s="40">
        <f ca="1">AF6*[10]Population!$N25/[11]Population!$Y4</f>
        <v>152639.73604896263</v>
      </c>
      <c r="P6" s="40">
        <f ca="1">AG6*[10]Population!$N25/[11]Population!$Y4</f>
        <v>154322.95579523055</v>
      </c>
      <c r="Q6" s="41">
        <f ca="1">AH6*[10]Population!$N25/[11]Population!$Y4</f>
        <v>155753.0423719133</v>
      </c>
      <c r="T6" s="24" t="s">
        <v>0</v>
      </c>
      <c r="U6" s="39">
        <f>'[9]Formatted Vehicle Summary'!$C$3</f>
        <v>104978.65624</v>
      </c>
      <c r="V6" s="40">
        <f t="shared" ref="V6:V19" si="2">U6*4/5 + Z6/5</f>
        <v>106923.485716</v>
      </c>
      <c r="W6" s="40">
        <f t="shared" ref="W6:W19" si="3">U6*3/5+Z6*2/5</f>
        <v>108868.31519200001</v>
      </c>
      <c r="X6" s="40">
        <f>U6*2/5+Z6*3/5</f>
        <v>110813.14466799999</v>
      </c>
      <c r="Y6" s="40">
        <f>U6*1/5+Z6*4/5</f>
        <v>112757.97414400001</v>
      </c>
      <c r="Z6" s="40">
        <f>'[9]Formatted Vehicle Summary'!$C$4</f>
        <v>114702.80362000001</v>
      </c>
      <c r="AA6" s="40">
        <f>'[9]Formatted Vehicle Summary'!$C$5</f>
        <v>121946.44544</v>
      </c>
      <c r="AB6" s="40">
        <f>'[9]Formatted Vehicle Summary'!$C$6</f>
        <v>128191.11937</v>
      </c>
      <c r="AC6" s="40">
        <f>'[9]Formatted Vehicle Summary'!$C$7</f>
        <v>133861.18953999999</v>
      </c>
      <c r="AD6" s="40">
        <f>'[9]Formatted Vehicle Summary'!$C$8</f>
        <v>138039.96851999999</v>
      </c>
      <c r="AE6" s="40">
        <f>'[9]Formatted Vehicle Summary'!$C$9</f>
        <v>142323.35801</v>
      </c>
      <c r="AF6" s="53">
        <f ca="1">$AE6*'[8]Total Distance Tables Sup #1'!I$7/'[8]Total Distance Tables Sup #1'!$H$7</f>
        <v>144294.43683169826</v>
      </c>
      <c r="AG6" s="53">
        <f ca="1">$AE6*'[8]Total Distance Tables Sup #1'!J$7/'[8]Total Distance Tables Sup #1'!$H$7</f>
        <v>145885.62960782973</v>
      </c>
      <c r="AH6" s="54">
        <f ca="1">$AE6*'[8]Total Distance Tables Sup #1'!K$7/'[8]Total Distance Tables Sup #1'!$H$7</f>
        <v>147237.52880881377</v>
      </c>
    </row>
    <row r="7" spans="3:34" ht="15.5" x14ac:dyDescent="0.35">
      <c r="C7" s="24" t="s">
        <v>1</v>
      </c>
      <c r="D7" s="42">
        <f>'[9]Formatted Vehicle Summary'!$C$10</f>
        <v>872467.79544999998</v>
      </c>
      <c r="E7" s="43">
        <f t="shared" si="0"/>
        <v>896167.77669740259</v>
      </c>
      <c r="F7" s="43">
        <f t="shared" si="1"/>
        <v>919867.75794480531</v>
      </c>
      <c r="G7" s="43">
        <f t="shared" ref="G7:G19" si="4">D7*2/5+I7*3/5</f>
        <v>943567.73919220781</v>
      </c>
      <c r="H7" s="43">
        <f t="shared" ref="H7:H19" si="5">D7*1/5+I7*4/5</f>
        <v>967267.72043961054</v>
      </c>
      <c r="I7" s="43">
        <f>Z7*[10]Population!I26/[11]Population!T5</f>
        <v>990967.70168701315</v>
      </c>
      <c r="J7" s="43">
        <f>AA7*[10]Population!J26/[11]Population!U5</f>
        <v>1086635.2026375637</v>
      </c>
      <c r="K7" s="43">
        <f>AB7*[10]Population!K26/[11]Population!V5</f>
        <v>1166085.9928186894</v>
      </c>
      <c r="L7" s="43">
        <f>AC7*[10]Population!L26/[11]Population!W5</f>
        <v>1239742.9052354677</v>
      </c>
      <c r="M7" s="43">
        <f>AD7*[10]Population!M26/[11]Population!X5</f>
        <v>1305312.3103221087</v>
      </c>
      <c r="N7" s="43">
        <f>AE7*[10]Population!$N26/[11]Population!$Y5</f>
        <v>1371653.2498828729</v>
      </c>
      <c r="O7" s="43">
        <f ca="1">AF7*[10]Population!$N26/[11]Population!$Y5</f>
        <v>1416917.7580197058</v>
      </c>
      <c r="P7" s="43">
        <f ca="1">AG7*[10]Population!$N26/[11]Population!$Y5</f>
        <v>1459340.664928922</v>
      </c>
      <c r="Q7" s="44">
        <f ca="1">AH7*[10]Population!$N26/[11]Population!$Y5</f>
        <v>1500129.7943405497</v>
      </c>
      <c r="T7" s="24" t="s">
        <v>1</v>
      </c>
      <c r="U7" s="42">
        <f>'[9]Formatted Vehicle Summary'!$C$10</f>
        <v>872467.79544999998</v>
      </c>
      <c r="V7" s="43">
        <f t="shared" si="2"/>
        <v>890779.33719799994</v>
      </c>
      <c r="W7" s="43">
        <f t="shared" si="3"/>
        <v>909090.87894600001</v>
      </c>
      <c r="X7" s="43">
        <f t="shared" ref="X7:X19" si="6">U7*2/5+Z7*3/5</f>
        <v>927402.42069400009</v>
      </c>
      <c r="Y7" s="43">
        <f t="shared" ref="Y7:Y19" si="7">U7*1/5+Z7*4/5</f>
        <v>945713.96244200005</v>
      </c>
      <c r="Z7" s="43">
        <f>'[9]Formatted Vehicle Summary'!$C$11</f>
        <v>964025.50419000001</v>
      </c>
      <c r="AA7" s="43">
        <f>'[9]Formatted Vehicle Summary'!$C$12</f>
        <v>1040099.2498</v>
      </c>
      <c r="AB7" s="43">
        <f>'[9]Formatted Vehicle Summary'!$C$13</f>
        <v>1114127.497</v>
      </c>
      <c r="AC7" s="43">
        <f>'[9]Formatted Vehicle Summary'!$C$14</f>
        <v>1184155.5352</v>
      </c>
      <c r="AD7" s="43">
        <f>'[9]Formatted Vehicle Summary'!$C$15</f>
        <v>1248035.25</v>
      </c>
      <c r="AE7" s="43">
        <f>'[9]Formatted Vehicle Summary'!$C$16</f>
        <v>1312934.5247</v>
      </c>
      <c r="AF7" s="56">
        <f ca="1">$AE7*'[8]Total Distance Tables Sup #1'!I$18/'[8]Total Distance Tables Sup #1'!$H$18</f>
        <v>1356261.3170081046</v>
      </c>
      <c r="AG7" s="56">
        <f ca="1">$AE7*'[8]Total Distance Tables Sup #1'!J$18/'[8]Total Distance Tables Sup #1'!$H$18</f>
        <v>1396868.1534108182</v>
      </c>
      <c r="AH7" s="57">
        <f ca="1">$AE7*'[8]Total Distance Tables Sup #1'!K$18/'[8]Total Distance Tables Sup #1'!$H$18</f>
        <v>1435911.1522456587</v>
      </c>
    </row>
    <row r="8" spans="3:34" ht="15.5" x14ac:dyDescent="0.35">
      <c r="C8" s="24" t="s">
        <v>2</v>
      </c>
      <c r="D8" s="42">
        <f>'[9]Formatted Vehicle Summary'!$C$17</f>
        <v>266387.73346999998</v>
      </c>
      <c r="E8" s="43">
        <f t="shared" si="0"/>
        <v>273297.37378043367</v>
      </c>
      <c r="F8" s="43">
        <f t="shared" si="1"/>
        <v>280207.01409086742</v>
      </c>
      <c r="G8" s="43">
        <f t="shared" si="4"/>
        <v>287116.65440130112</v>
      </c>
      <c r="H8" s="43">
        <f t="shared" si="5"/>
        <v>294026.29471173487</v>
      </c>
      <c r="I8" s="43">
        <f>Z8*[10]Population!I27/[11]Population!T6</f>
        <v>300935.93502216856</v>
      </c>
      <c r="J8" s="43">
        <f>AA8*[10]Population!J27/[11]Population!U6</f>
        <v>325826.33531322994</v>
      </c>
      <c r="K8" s="43">
        <f>AB8*[10]Population!K27/[11]Population!V6</f>
        <v>345246.62745654734</v>
      </c>
      <c r="L8" s="43">
        <f>AC8*[10]Population!L27/[11]Population!W6</f>
        <v>362428.60742548801</v>
      </c>
      <c r="M8" s="43">
        <f>AD8*[10]Population!M27/[11]Population!X6</f>
        <v>375885.95127488533</v>
      </c>
      <c r="N8" s="43">
        <f>AE8*[10]Population!$N27/[11]Population!$Y6</f>
        <v>389719.55119053234</v>
      </c>
      <c r="O8" s="43">
        <f ca="1">AF8*[10]Population!$N27/[11]Population!$Y6</f>
        <v>396257.85298896587</v>
      </c>
      <c r="P8" s="43">
        <f ca="1">AG8*[10]Population!$N27/[11]Population!$Y6</f>
        <v>401593.88847325963</v>
      </c>
      <c r="Q8" s="44">
        <f ca="1">AH8*[10]Population!$N27/[11]Population!$Y6</f>
        <v>406096.02876112552</v>
      </c>
      <c r="T8" s="24" t="s">
        <v>2</v>
      </c>
      <c r="U8" s="42">
        <f>'[9]Formatted Vehicle Summary'!$C$17</f>
        <v>266387.73346999998</v>
      </c>
      <c r="V8" s="43">
        <f t="shared" si="2"/>
        <v>271054.96719599998</v>
      </c>
      <c r="W8" s="43">
        <f t="shared" si="3"/>
        <v>275722.20092199999</v>
      </c>
      <c r="X8" s="43">
        <f t="shared" si="6"/>
        <v>280389.43464799999</v>
      </c>
      <c r="Y8" s="43">
        <f t="shared" si="7"/>
        <v>285056.668374</v>
      </c>
      <c r="Z8" s="43">
        <f>'[9]Formatted Vehicle Summary'!$C$18</f>
        <v>289723.90210000001</v>
      </c>
      <c r="AA8" s="43">
        <f>'[9]Formatted Vehicle Summary'!$C$19</f>
        <v>308308.42489999998</v>
      </c>
      <c r="AB8" s="43">
        <f>'[9]Formatted Vehicle Summary'!$C$20</f>
        <v>324181.25410000002</v>
      </c>
      <c r="AC8" s="43">
        <f>'[9]Formatted Vehicle Summary'!$C$21</f>
        <v>338285.98800000001</v>
      </c>
      <c r="AD8" s="43">
        <f>'[9]Formatted Vehicle Summary'!$C$22</f>
        <v>349051.55387</v>
      </c>
      <c r="AE8" s="43">
        <f>'[9]Formatted Vehicle Summary'!$C$23</f>
        <v>360047.39250000002</v>
      </c>
      <c r="AF8" s="56">
        <f ca="1">$AE8*'[8]Total Distance Tables Sup #1'!I$29/'[8]Total Distance Tables Sup #1'!$H$29</f>
        <v>366087.88625175727</v>
      </c>
      <c r="AG8" s="56">
        <f ca="1">$AE8*'[8]Total Distance Tables Sup #1'!J$29/'[8]Total Distance Tables Sup #1'!$H$29</f>
        <v>371017.65089029906</v>
      </c>
      <c r="AH8" s="57">
        <f ca="1">$AE8*'[8]Total Distance Tables Sup #1'!K$29/'[8]Total Distance Tables Sup #1'!$H$29</f>
        <v>375177.0107847756</v>
      </c>
    </row>
    <row r="9" spans="3:34" ht="15.5" x14ac:dyDescent="0.35">
      <c r="C9" s="24" t="s">
        <v>3</v>
      </c>
      <c r="D9" s="42">
        <f>'[9]Formatted Vehicle Summary'!$C$24</f>
        <v>183297.22020000001</v>
      </c>
      <c r="E9" s="43">
        <f t="shared" si="0"/>
        <v>187521.90414382337</v>
      </c>
      <c r="F9" s="43">
        <f t="shared" si="1"/>
        <v>191746.5880876467</v>
      </c>
      <c r="G9" s="43">
        <f t="shared" si="4"/>
        <v>195971.27203147003</v>
      </c>
      <c r="H9" s="43">
        <f t="shared" si="5"/>
        <v>200195.95597529339</v>
      </c>
      <c r="I9" s="43">
        <f>Z9*[10]Population!I28/[11]Population!T7</f>
        <v>204420.63991911671</v>
      </c>
      <c r="J9" s="43">
        <f>AA9*[10]Population!J28/[11]Population!U7</f>
        <v>219682.62282380316</v>
      </c>
      <c r="K9" s="43">
        <f>AB9*[10]Population!K28/[11]Population!V7</f>
        <v>231238.06730005337</v>
      </c>
      <c r="L9" s="43">
        <f>AC9*[10]Population!L28/[11]Population!W7</f>
        <v>241336.38585330208</v>
      </c>
      <c r="M9" s="43">
        <f>AD9*[10]Population!M28/[11]Population!X7</f>
        <v>249306.43069544295</v>
      </c>
      <c r="N9" s="43">
        <f>AE9*[10]Population!$N28/[11]Population!$Y7</f>
        <v>257675.174152502</v>
      </c>
      <c r="O9" s="43">
        <f ca="1">AF9*[10]Population!$N28/[11]Population!$Y7</f>
        <v>260064.49268321504</v>
      </c>
      <c r="P9" s="43">
        <f ca="1">AG9*[10]Population!$N28/[11]Population!$Y7</f>
        <v>261606.90558931217</v>
      </c>
      <c r="Q9" s="44">
        <f ca="1">AH9*[10]Population!$N28/[11]Population!$Y7</f>
        <v>262557.8842167448</v>
      </c>
      <c r="T9" s="24" t="s">
        <v>3</v>
      </c>
      <c r="U9" s="42">
        <f>'[9]Formatted Vehicle Summary'!$C$24</f>
        <v>183297.22020000001</v>
      </c>
      <c r="V9" s="43">
        <f t="shared" si="2"/>
        <v>186097.773308</v>
      </c>
      <c r="W9" s="43">
        <f t="shared" si="3"/>
        <v>188898.32641600003</v>
      </c>
      <c r="X9" s="43">
        <f t="shared" si="6"/>
        <v>191698.87952399999</v>
      </c>
      <c r="Y9" s="43">
        <f t="shared" si="7"/>
        <v>194499.43263200001</v>
      </c>
      <c r="Z9" s="43">
        <f>'[9]Formatted Vehicle Summary'!$C$25</f>
        <v>197299.98574</v>
      </c>
      <c r="AA9" s="43">
        <f>'[9]Formatted Vehicle Summary'!$C$26</f>
        <v>208736.18088</v>
      </c>
      <c r="AB9" s="43">
        <f>'[9]Formatted Vehicle Summary'!$C$27</f>
        <v>218230.38214999999</v>
      </c>
      <c r="AC9" s="43">
        <f>'[9]Formatted Vehicle Summary'!$C$28</f>
        <v>226525.02312</v>
      </c>
      <c r="AD9" s="43">
        <f>'[9]Formatted Vehicle Summary'!$C$29</f>
        <v>232925.35852000001</v>
      </c>
      <c r="AE9" s="43">
        <f>'[9]Formatted Vehicle Summary'!$C$30</f>
        <v>239476.47151</v>
      </c>
      <c r="AF9" s="56">
        <f ca="1">$AE9*'[8]Total Distance Tables Sup #1'!I$40/'[8]Total Distance Tables Sup #1'!$H$40</f>
        <v>241697.04077101068</v>
      </c>
      <c r="AG9" s="56">
        <f ca="1">$AE9*'[8]Total Distance Tables Sup #1'!J$40/'[8]Total Distance Tables Sup #1'!$H$40</f>
        <v>243130.51841036222</v>
      </c>
      <c r="AH9" s="57">
        <f ca="1">$AE9*'[8]Total Distance Tables Sup #1'!K$40/'[8]Total Distance Tables Sup #1'!$H$40</f>
        <v>244014.3327200955</v>
      </c>
    </row>
    <row r="10" spans="3:34" ht="15.5" x14ac:dyDescent="0.35">
      <c r="C10" s="24" t="s">
        <v>4</v>
      </c>
      <c r="D10" s="42">
        <f>'[9]Formatted Vehicle Summary'!$C$31</f>
        <v>26650.955902999998</v>
      </c>
      <c r="E10" s="43">
        <f t="shared" si="0"/>
        <v>27006.342821084101</v>
      </c>
      <c r="F10" s="43">
        <f t="shared" si="1"/>
        <v>27361.7297391682</v>
      </c>
      <c r="G10" s="43">
        <f t="shared" si="4"/>
        <v>27717.1166572523</v>
      </c>
      <c r="H10" s="43">
        <f t="shared" si="5"/>
        <v>28072.503575336399</v>
      </c>
      <c r="I10" s="43">
        <f>Z10*[10]Population!I29/[11]Population!T8</f>
        <v>28427.890493420502</v>
      </c>
      <c r="J10" s="43">
        <f>AA10*[10]Population!J29/[11]Population!U8</f>
        <v>29556.160363503106</v>
      </c>
      <c r="K10" s="43">
        <f>AB10*[10]Population!K29/[11]Population!V8</f>
        <v>30831.385310699585</v>
      </c>
      <c r="L10" s="43">
        <f>AC10*[10]Population!L29/[11]Population!W8</f>
        <v>31722.799127434158</v>
      </c>
      <c r="M10" s="43">
        <f>AD10*[10]Population!M29/[11]Population!X8</f>
        <v>32322.012857933612</v>
      </c>
      <c r="N10" s="43">
        <f>AE10*[10]Population!$N29/[11]Population!$Y8</f>
        <v>32946.717785514702</v>
      </c>
      <c r="O10" s="43">
        <f ca="1">AF10*[10]Population!$N29/[11]Population!$Y8</f>
        <v>32637.496465521395</v>
      </c>
      <c r="P10" s="43">
        <f ca="1">AG10*[10]Population!$N29/[11]Population!$Y8</f>
        <v>32228.261633010203</v>
      </c>
      <c r="Q10" s="44">
        <f ca="1">AH10*[10]Population!$N29/[11]Population!$Y8</f>
        <v>31755.765940500267</v>
      </c>
      <c r="T10" s="24" t="s">
        <v>4</v>
      </c>
      <c r="U10" s="42">
        <f>'[9]Formatted Vehicle Summary'!$C$31</f>
        <v>26650.955902999998</v>
      </c>
      <c r="V10" s="43">
        <f t="shared" si="2"/>
        <v>26924.282931000002</v>
      </c>
      <c r="W10" s="43">
        <f t="shared" si="3"/>
        <v>27197.609959000001</v>
      </c>
      <c r="X10" s="43">
        <f t="shared" si="6"/>
        <v>27470.936987000001</v>
      </c>
      <c r="Y10" s="43">
        <f t="shared" si="7"/>
        <v>27744.264015000001</v>
      </c>
      <c r="Z10" s="43">
        <f>'[9]Formatted Vehicle Summary'!$C$32</f>
        <v>28017.591043</v>
      </c>
      <c r="AA10" s="43">
        <f>'[9]Formatted Vehicle Summary'!$C$33</f>
        <v>28898.027237999999</v>
      </c>
      <c r="AB10" s="43">
        <f>'[9]Formatted Vehicle Summary'!$C$34</f>
        <v>29968.106521999998</v>
      </c>
      <c r="AC10" s="43">
        <f>'[9]Formatted Vehicle Summary'!$C$35</f>
        <v>30650.656811000001</v>
      </c>
      <c r="AD10" s="43">
        <f>'[9]Formatted Vehicle Summary'!$C$36</f>
        <v>31034.283262000001</v>
      </c>
      <c r="AE10" s="43">
        <f>'[9]Formatted Vehicle Summary'!$C$37</f>
        <v>31428.131594999999</v>
      </c>
      <c r="AF10" s="56">
        <f ca="1">$AE10*'[8]Total Distance Tables Sup #1'!I$51/'[8]Total Distance Tables Sup #1'!$H$51</f>
        <v>31133.162961098566</v>
      </c>
      <c r="AG10" s="56">
        <f ca="1">$AE10*'[8]Total Distance Tables Sup #1'!J$51/'[8]Total Distance Tables Sup #1'!$H$51</f>
        <v>30742.790655937584</v>
      </c>
      <c r="AH10" s="57">
        <f ca="1">$AE10*'[8]Total Distance Tables Sup #1'!K$51/'[8]Total Distance Tables Sup #1'!$H$51</f>
        <v>30292.073322000255</v>
      </c>
    </row>
    <row r="11" spans="3:34" ht="15.5" x14ac:dyDescent="0.35">
      <c r="C11" s="24" t="s">
        <v>5</v>
      </c>
      <c r="D11" s="42">
        <f>'[9]Formatted Vehicle Summary'!$C$38</f>
        <v>103541.16636</v>
      </c>
      <c r="E11" s="43">
        <f t="shared" si="0"/>
        <v>105677.93443759633</v>
      </c>
      <c r="F11" s="43">
        <f t="shared" si="1"/>
        <v>107814.70251519262</v>
      </c>
      <c r="G11" s="43">
        <f t="shared" si="4"/>
        <v>109951.47059278894</v>
      </c>
      <c r="H11" s="43">
        <f t="shared" si="5"/>
        <v>112088.23867038527</v>
      </c>
      <c r="I11" s="43">
        <f>Z11*[10]Population!I30/[11]Population!T9</f>
        <v>114225.00674798159</v>
      </c>
      <c r="J11" s="43">
        <f>AA11*[10]Population!J30/[11]Population!U9</f>
        <v>122260.6051689634</v>
      </c>
      <c r="K11" s="43">
        <f>AB11*[10]Population!K30/[11]Population!V9</f>
        <v>128251.92066360524</v>
      </c>
      <c r="L11" s="43">
        <f>AC11*[10]Population!L30/[11]Population!W9</f>
        <v>133660.18240760893</v>
      </c>
      <c r="M11" s="43">
        <f>AD11*[10]Population!M30/[11]Population!X9</f>
        <v>137839.94095269439</v>
      </c>
      <c r="N11" s="43">
        <f>AE11*[10]Population!$N30/[11]Population!$Y9</f>
        <v>142175.67965462574</v>
      </c>
      <c r="O11" s="43">
        <f ca="1">AF11*[10]Population!$N30/[11]Population!$Y9</f>
        <v>143948.53325236024</v>
      </c>
      <c r="P11" s="43">
        <f ca="1">AG11*[10]Population!$N30/[11]Population!$Y9</f>
        <v>145369.39271613711</v>
      </c>
      <c r="Q11" s="44">
        <f ca="1">AH11*[10]Population!$N30/[11]Population!$Y9</f>
        <v>146579.8742108845</v>
      </c>
      <c r="T11" s="24" t="s">
        <v>5</v>
      </c>
      <c r="U11" s="42">
        <f>'[9]Formatted Vehicle Summary'!$C$38</f>
        <v>103541.16636</v>
      </c>
      <c r="V11" s="43">
        <f t="shared" si="2"/>
        <v>105203.49666800001</v>
      </c>
      <c r="W11" s="43">
        <f t="shared" si="3"/>
        <v>106865.82697599998</v>
      </c>
      <c r="X11" s="43">
        <f t="shared" si="6"/>
        <v>108528.15728399999</v>
      </c>
      <c r="Y11" s="43">
        <f t="shared" si="7"/>
        <v>110190.48759199999</v>
      </c>
      <c r="Z11" s="43">
        <f>'[9]Formatted Vehicle Summary'!$C$39</f>
        <v>111852.81789999999</v>
      </c>
      <c r="AA11" s="43">
        <f>'[9]Formatted Vehicle Summary'!$C$40</f>
        <v>118306.90360999999</v>
      </c>
      <c r="AB11" s="43">
        <f>'[9]Formatted Vehicle Summary'!$C$41</f>
        <v>123684.55454</v>
      </c>
      <c r="AC11" s="43">
        <f>'[9]Formatted Vehicle Summary'!$C$42</f>
        <v>128564.48853</v>
      </c>
      <c r="AD11" s="43">
        <f>'[9]Formatted Vehicle Summary'!$C$43</f>
        <v>132331.85706000001</v>
      </c>
      <c r="AE11" s="43">
        <f>'[9]Formatted Vehicle Summary'!$C$44</f>
        <v>136175.50141</v>
      </c>
      <c r="AF11" s="56">
        <f ca="1">$AE11*'[8]Total Distance Tables Sup #1'!I$62/'[8]Total Distance Tables Sup #1'!$H$62</f>
        <v>137873.53604000478</v>
      </c>
      <c r="AG11" s="56">
        <f ca="1">$AE11*'[8]Total Distance Tables Sup #1'!J$62/'[8]Total Distance Tables Sup #1'!$H$62</f>
        <v>139234.43159107916</v>
      </c>
      <c r="AH11" s="57">
        <f ca="1">$AE11*'[8]Total Distance Tables Sup #1'!K$62/'[8]Total Distance Tables Sup #1'!$H$62</f>
        <v>140393.8276628629</v>
      </c>
    </row>
    <row r="12" spans="3:34" ht="15.5" x14ac:dyDescent="0.35">
      <c r="C12" s="24" t="s">
        <v>6</v>
      </c>
      <c r="D12" s="42">
        <f>'[9]Formatted Vehicle Summary'!$C$45</f>
        <v>74060.272580000004</v>
      </c>
      <c r="E12" s="43">
        <f t="shared" si="0"/>
        <v>75741.023066495938</v>
      </c>
      <c r="F12" s="43">
        <f t="shared" si="1"/>
        <v>77421.773552991872</v>
      </c>
      <c r="G12" s="43">
        <f t="shared" si="4"/>
        <v>79102.524039487791</v>
      </c>
      <c r="H12" s="43">
        <f t="shared" si="5"/>
        <v>80783.274525983739</v>
      </c>
      <c r="I12" s="43">
        <f>Z12*[10]Population!I31/[11]Population!T10</f>
        <v>82464.025012479673</v>
      </c>
      <c r="J12" s="43">
        <f>AA12*[10]Population!J31/[11]Population!U10</f>
        <v>89338.439887620669</v>
      </c>
      <c r="K12" s="43">
        <f>AB12*[10]Population!K31/[11]Population!V10</f>
        <v>94894.840955939857</v>
      </c>
      <c r="L12" s="43">
        <f>AC12*[10]Population!L31/[11]Population!W10</f>
        <v>99460.695980545657</v>
      </c>
      <c r="M12" s="43">
        <f>AD12*[10]Population!M31/[11]Population!X10</f>
        <v>103680.98081503627</v>
      </c>
      <c r="N12" s="43">
        <f>AE12*[10]Population!$N31/[11]Population!$Y10</f>
        <v>108045.85181881743</v>
      </c>
      <c r="O12" s="43">
        <f ca="1">AF12*[10]Population!$N31/[11]Population!$Y10</f>
        <v>110316.54871025686</v>
      </c>
      <c r="P12" s="43">
        <f ca="1">AG12*[10]Population!$N31/[11]Population!$Y10</f>
        <v>112324.61951190217</v>
      </c>
      <c r="Q12" s="44">
        <f ca="1">AH12*[10]Population!$N31/[11]Population!$Y10</f>
        <v>114172.54321888706</v>
      </c>
      <c r="T12" s="24" t="s">
        <v>6</v>
      </c>
      <c r="U12" s="42">
        <f>'[9]Formatted Vehicle Summary'!$C$45</f>
        <v>74060.272580000004</v>
      </c>
      <c r="V12" s="43">
        <f t="shared" si="2"/>
        <v>75401.6148292</v>
      </c>
      <c r="W12" s="43">
        <f t="shared" si="3"/>
        <v>76742.95707840001</v>
      </c>
      <c r="X12" s="43">
        <f t="shared" si="6"/>
        <v>78084.299327599991</v>
      </c>
      <c r="Y12" s="43">
        <f t="shared" si="7"/>
        <v>79425.641576800001</v>
      </c>
      <c r="Z12" s="43">
        <f>'[9]Formatted Vehicle Summary'!$C$46</f>
        <v>80766.983825999996</v>
      </c>
      <c r="AA12" s="43">
        <f>'[9]Formatted Vehicle Summary'!$C$47</f>
        <v>86481.174203000002</v>
      </c>
      <c r="AB12" s="43">
        <f>'[9]Formatted Vehicle Summary'!$C$48</f>
        <v>91704.782628000001</v>
      </c>
      <c r="AC12" s="43">
        <f>'[9]Formatted Vehicle Summary'!$C$49</f>
        <v>96057.765281</v>
      </c>
      <c r="AD12" s="43">
        <f>'[9]Formatted Vehicle Summary'!$C$50</f>
        <v>100167.50289</v>
      </c>
      <c r="AE12" s="43">
        <f>'[9]Formatted Vehicle Summary'!$C$51</f>
        <v>104358.98901999999</v>
      </c>
      <c r="AF12" s="56">
        <f ca="1">$AE12*'[8]Total Distance Tables Sup #1'!I$73/'[8]Total Distance Tables Sup #1'!$H$73</f>
        <v>106552.2026230437</v>
      </c>
      <c r="AG12" s="56">
        <f ca="1">$AE12*'[8]Total Distance Tables Sup #1'!J$73/'[8]Total Distance Tables Sup #1'!$H$73</f>
        <v>108491.75176086437</v>
      </c>
      <c r="AH12" s="57">
        <f ca="1">$AE12*'[8]Total Distance Tables Sup #1'!K$73/'[8]Total Distance Tables Sup #1'!$H$73</f>
        <v>110276.618524379</v>
      </c>
    </row>
    <row r="13" spans="3:34" ht="15.5" x14ac:dyDescent="0.35">
      <c r="C13" s="24" t="s">
        <v>7</v>
      </c>
      <c r="D13" s="42">
        <f>'[9]Formatted Vehicle Summary'!$C$52</f>
        <v>146543.66057000001</v>
      </c>
      <c r="E13" s="43">
        <f t="shared" si="0"/>
        <v>149325.53594723323</v>
      </c>
      <c r="F13" s="43">
        <f t="shared" si="1"/>
        <v>152107.41132446646</v>
      </c>
      <c r="G13" s="43">
        <f t="shared" si="4"/>
        <v>154889.28670169966</v>
      </c>
      <c r="H13" s="43">
        <f t="shared" si="5"/>
        <v>157671.16207893289</v>
      </c>
      <c r="I13" s="43">
        <f>Z13*[10]Population!I32/[11]Population!T11</f>
        <v>160453.03745616612</v>
      </c>
      <c r="J13" s="43">
        <f>AA13*[10]Population!J32/[11]Population!U11</f>
        <v>169311.25062547167</v>
      </c>
      <c r="K13" s="43">
        <f>AB13*[10]Population!K32/[11]Population!V11</f>
        <v>175683.37354512286</v>
      </c>
      <c r="L13" s="43">
        <f>AC13*[10]Population!L32/[11]Population!W11</f>
        <v>181391.24435421659</v>
      </c>
      <c r="M13" s="43">
        <f>AD13*[10]Population!M32/[11]Population!X11</f>
        <v>185025.03748914547</v>
      </c>
      <c r="N13" s="43">
        <f>AE13*[10]Population!$N32/[11]Population!$Y11</f>
        <v>188861.44132547409</v>
      </c>
      <c r="O13" s="43">
        <f ca="1">AF13*[10]Population!$N32/[11]Population!$Y11</f>
        <v>189070.96932903575</v>
      </c>
      <c r="P13" s="43">
        <f ca="1">AG13*[10]Population!$N32/[11]Population!$Y11</f>
        <v>188783.79221196333</v>
      </c>
      <c r="Q13" s="44">
        <f ca="1">AH13*[10]Population!$N32/[11]Population!$Y11</f>
        <v>188200.87982998148</v>
      </c>
      <c r="T13" s="24" t="s">
        <v>7</v>
      </c>
      <c r="U13" s="42">
        <f>'[9]Formatted Vehicle Summary'!$C$52</f>
        <v>146543.66057000001</v>
      </c>
      <c r="V13" s="43">
        <f t="shared" si="2"/>
        <v>148432.19653000002</v>
      </c>
      <c r="W13" s="43">
        <f t="shared" si="3"/>
        <v>150320.73249000002</v>
      </c>
      <c r="X13" s="43">
        <f t="shared" si="6"/>
        <v>152209.26845</v>
      </c>
      <c r="Y13" s="43">
        <f t="shared" si="7"/>
        <v>154097.80441000001</v>
      </c>
      <c r="Z13" s="43">
        <f>'[9]Formatted Vehicle Summary'!$C$53</f>
        <v>155986.34036999999</v>
      </c>
      <c r="AA13" s="43">
        <f>'[9]Formatted Vehicle Summary'!$C$54</f>
        <v>162570.19612000001</v>
      </c>
      <c r="AB13" s="43">
        <f>'[9]Formatted Vehicle Summary'!$C$55</f>
        <v>167672.12422999999</v>
      </c>
      <c r="AC13" s="43">
        <f>'[9]Formatted Vehicle Summary'!$C$56</f>
        <v>172237.38125999999</v>
      </c>
      <c r="AD13" s="43">
        <f>'[9]Formatted Vehicle Summary'!$C$57</f>
        <v>174795.63123</v>
      </c>
      <c r="AE13" s="43">
        <f>'[9]Formatted Vehicle Summary'!$C$58</f>
        <v>177426.93436000001</v>
      </c>
      <c r="AF13" s="56">
        <f ca="1">$AE13*'[8]Total Distance Tables Sup #1'!I$84/'[8]Total Distance Tables Sup #1'!$H$84</f>
        <v>177623.77661151311</v>
      </c>
      <c r="AG13" s="56">
        <f ca="1">$AE13*'[8]Total Distance Tables Sup #1'!J$84/'[8]Total Distance Tables Sup #1'!$H$84</f>
        <v>177353.98646725231</v>
      </c>
      <c r="AH13" s="57">
        <f ca="1">$AE13*'[8]Total Distance Tables Sup #1'!K$84/'[8]Total Distance Tables Sup #1'!$H$84</f>
        <v>176806.36617901523</v>
      </c>
    </row>
    <row r="14" spans="3:34" ht="15.5" x14ac:dyDescent="0.35">
      <c r="C14" s="24" t="s">
        <v>8</v>
      </c>
      <c r="D14" s="42">
        <f>'[9]Formatted Vehicle Summary'!$C$59</f>
        <v>272805.11940000003</v>
      </c>
      <c r="E14" s="43">
        <f t="shared" si="0"/>
        <v>279030.28473547881</v>
      </c>
      <c r="F14" s="43">
        <f t="shared" si="1"/>
        <v>285255.45007095765</v>
      </c>
      <c r="G14" s="43">
        <f t="shared" si="4"/>
        <v>291480.61540643638</v>
      </c>
      <c r="H14" s="43">
        <f t="shared" si="5"/>
        <v>297705.78074191516</v>
      </c>
      <c r="I14" s="43">
        <f>Z14*[10]Population!I33/[11]Population!T12</f>
        <v>303930.94607739395</v>
      </c>
      <c r="J14" s="43">
        <f>AA14*[10]Population!J33/[11]Population!U12</f>
        <v>327976.06147351273</v>
      </c>
      <c r="K14" s="43">
        <f>AB14*[10]Population!K33/[11]Population!V12</f>
        <v>347991.98426554882</v>
      </c>
      <c r="L14" s="43">
        <f>AC14*[10]Population!L33/[11]Population!W12</f>
        <v>364799.57121040125</v>
      </c>
      <c r="M14" s="43">
        <f>AD14*[10]Population!M33/[11]Population!X12</f>
        <v>379971.61105307192</v>
      </c>
      <c r="N14" s="43">
        <f>AE14*[10]Population!$N33/[11]Population!$Y12</f>
        <v>395402.55534045072</v>
      </c>
      <c r="O14" s="43">
        <f ca="1">AF14*[10]Population!$N33/[11]Population!$Y12</f>
        <v>404122.03324949584</v>
      </c>
      <c r="P14" s="43">
        <f ca="1">AG14*[10]Population!$N33/[11]Population!$Y12</f>
        <v>411816.55003594491</v>
      </c>
      <c r="Q14" s="44">
        <f ca="1">AH14*[10]Population!$N33/[11]Population!$Y12</f>
        <v>418857.39723454381</v>
      </c>
      <c r="T14" s="24" t="s">
        <v>8</v>
      </c>
      <c r="U14" s="42">
        <f>'[9]Formatted Vehicle Summary'!$C$59</f>
        <v>272805.11940000003</v>
      </c>
      <c r="V14" s="43">
        <f t="shared" si="2"/>
        <v>277799.04117200006</v>
      </c>
      <c r="W14" s="43">
        <f t="shared" si="3"/>
        <v>282792.96294400003</v>
      </c>
      <c r="X14" s="43">
        <f t="shared" si="6"/>
        <v>287786.88471600006</v>
      </c>
      <c r="Y14" s="43">
        <f t="shared" si="7"/>
        <v>292780.80648800003</v>
      </c>
      <c r="Z14" s="43">
        <f>'[9]Formatted Vehicle Summary'!$C$60</f>
        <v>297774.72826</v>
      </c>
      <c r="AA14" s="43">
        <f>'[9]Formatted Vehicle Summary'!$C$61</f>
        <v>317449.24962000002</v>
      </c>
      <c r="AB14" s="43">
        <f>'[9]Formatted Vehicle Summary'!$C$62</f>
        <v>335804.45426000003</v>
      </c>
      <c r="AC14" s="43">
        <f>'[9]Formatted Vehicle Summary'!$C$63</f>
        <v>351502.43537999998</v>
      </c>
      <c r="AD14" s="43">
        <f>'[9]Formatted Vehicle Summary'!$C$64</f>
        <v>365895.62303000002</v>
      </c>
      <c r="AE14" s="43">
        <f>'[9]Formatted Vehicle Summary'!$C$65</f>
        <v>380499.13238000002</v>
      </c>
      <c r="AF14" s="56">
        <f ca="1">$AE14*'[8]Total Distance Tables Sup #1'!I$95/'[8]Total Distance Tables Sup #1'!$H$95</f>
        <v>388889.95771581907</v>
      </c>
      <c r="AG14" s="56">
        <f ca="1">$AE14*'[8]Total Distance Tables Sup #1'!J$95/'[8]Total Distance Tables Sup #1'!$H$95</f>
        <v>396294.45452997438</v>
      </c>
      <c r="AH14" s="57">
        <f ca="1">$AE14*'[8]Total Distance Tables Sup #1'!K$95/'[8]Total Distance Tables Sup #1'!$H$95</f>
        <v>403069.91972134198</v>
      </c>
    </row>
    <row r="15" spans="3:34" ht="15.5" x14ac:dyDescent="0.35">
      <c r="C15" s="24" t="s">
        <v>9</v>
      </c>
      <c r="D15" s="42">
        <f>'[9]Formatted Vehicle Summary'!$C$66</f>
        <v>99341.522463999994</v>
      </c>
      <c r="E15" s="43">
        <f t="shared" si="0"/>
        <v>100814.47881384502</v>
      </c>
      <c r="F15" s="43">
        <f t="shared" si="1"/>
        <v>102287.43516369007</v>
      </c>
      <c r="G15" s="43">
        <f t="shared" si="4"/>
        <v>103760.39151353508</v>
      </c>
      <c r="H15" s="43">
        <f t="shared" si="5"/>
        <v>105233.34786338013</v>
      </c>
      <c r="I15" s="43">
        <f>Z15*[10]Population!I34/[11]Population!T13</f>
        <v>106706.30421322516</v>
      </c>
      <c r="J15" s="43">
        <f>AA15*[10]Population!J34/[11]Population!U13</f>
        <v>112695.40003231683</v>
      </c>
      <c r="K15" s="43">
        <f>AB15*[10]Population!K34/[11]Population!V13</f>
        <v>117477.27844203368</v>
      </c>
      <c r="L15" s="43">
        <f>AC15*[10]Population!L34/[11]Population!W13</f>
        <v>120861.62322655569</v>
      </c>
      <c r="M15" s="43">
        <f>AD15*[10]Population!M34/[11]Population!X13</f>
        <v>122506.37533368387</v>
      </c>
      <c r="N15" s="43">
        <f>AE15*[10]Population!$N34/[11]Population!$Y13</f>
        <v>124216.38877630906</v>
      </c>
      <c r="O15" s="43">
        <f ca="1">AF15*[10]Population!$N34/[11]Population!$Y13</f>
        <v>124027.28346968052</v>
      </c>
      <c r="P15" s="43">
        <f ca="1">AG15*[10]Population!$N34/[11]Population!$Y13</f>
        <v>123450.09492429909</v>
      </c>
      <c r="Q15" s="44">
        <f ca="1">AH15*[10]Population!$N34/[11]Population!$Y13</f>
        <v>122617.31990422799</v>
      </c>
      <c r="T15" s="24" t="s">
        <v>9</v>
      </c>
      <c r="U15" s="42">
        <f>'[9]Formatted Vehicle Summary'!$C$66</f>
        <v>99341.522463999994</v>
      </c>
      <c r="V15" s="43">
        <f t="shared" si="2"/>
        <v>100642.71816319998</v>
      </c>
      <c r="W15" s="43">
        <f t="shared" si="3"/>
        <v>101943.91386239999</v>
      </c>
      <c r="X15" s="43">
        <f t="shared" si="6"/>
        <v>103245.10956159999</v>
      </c>
      <c r="Y15" s="43">
        <f t="shared" si="7"/>
        <v>104546.3052608</v>
      </c>
      <c r="Z15" s="43">
        <f>'[9]Formatted Vehicle Summary'!$C$67</f>
        <v>105847.50096</v>
      </c>
      <c r="AA15" s="43">
        <f>'[9]Formatted Vehicle Summary'!$C$68</f>
        <v>111154.64261</v>
      </c>
      <c r="AB15" s="43">
        <f>'[9]Formatted Vehicle Summary'!$C$69</f>
        <v>115531.79485000001</v>
      </c>
      <c r="AC15" s="43">
        <f>'[9]Formatted Vehicle Summary'!$C$70</f>
        <v>118435.29201999999</v>
      </c>
      <c r="AD15" s="43">
        <f>'[9]Formatted Vehicle Summary'!$C$71</f>
        <v>119609.52265</v>
      </c>
      <c r="AE15" s="43">
        <f>'[9]Formatted Vehicle Summary'!$C$72</f>
        <v>120821.65517</v>
      </c>
      <c r="AF15" s="56">
        <f ca="1">$AE15*'[8]Total Distance Tables Sup #1'!I$106/'[8]Total Distance Tables Sup #1'!$H$106</f>
        <v>120637.7179587079</v>
      </c>
      <c r="AG15" s="56">
        <f ca="1">$AE15*'[8]Total Distance Tables Sup #1'!J$106/'[8]Total Distance Tables Sup #1'!$H$106</f>
        <v>120076.30351021886</v>
      </c>
      <c r="AH15" s="57">
        <f ca="1">$AE15*'[8]Total Distance Tables Sup #1'!K$106/'[8]Total Distance Tables Sup #1'!$H$106</f>
        <v>119266.28755901926</v>
      </c>
    </row>
    <row r="16" spans="3:34" ht="15.5" x14ac:dyDescent="0.35">
      <c r="C16" s="24" t="s">
        <v>10</v>
      </c>
      <c r="D16" s="42">
        <f>'[9]Formatted Vehicle Summary'!$C$73</f>
        <v>22769.060554</v>
      </c>
      <c r="E16" s="43">
        <f t="shared" si="0"/>
        <v>22878.98091204615</v>
      </c>
      <c r="F16" s="43">
        <f t="shared" si="1"/>
        <v>22988.901270092309</v>
      </c>
      <c r="G16" s="43">
        <f t="shared" si="4"/>
        <v>23098.821628138459</v>
      </c>
      <c r="H16" s="43">
        <f t="shared" si="5"/>
        <v>23208.741986184614</v>
      </c>
      <c r="I16" s="43">
        <f>Z16*[10]Population!I35/[11]Population!T14</f>
        <v>23318.662344230768</v>
      </c>
      <c r="J16" s="43">
        <f>AA16*[10]Population!J35/[11]Population!U14</f>
        <v>23599.522292794118</v>
      </c>
      <c r="K16" s="43">
        <f>AB16*[10]Population!K35/[11]Population!V14</f>
        <v>23941.874016580648</v>
      </c>
      <c r="L16" s="43">
        <f>AC16*[10]Population!L35/[11]Population!W14</f>
        <v>23627.866943352939</v>
      </c>
      <c r="M16" s="43">
        <f>AD16*[10]Population!M35/[11]Population!X14</f>
        <v>23431.971235207715</v>
      </c>
      <c r="N16" s="43">
        <f>AE16*[10]Population!$N35/[11]Population!$Y14</f>
        <v>23286.697156843373</v>
      </c>
      <c r="O16" s="43">
        <f ca="1">AF16*[10]Population!$N35/[11]Population!$Y14</f>
        <v>22687.823641609855</v>
      </c>
      <c r="P16" s="43">
        <f ca="1">AG16*[10]Population!$N35/[11]Population!$Y14</f>
        <v>22033.989641688004</v>
      </c>
      <c r="Q16" s="44">
        <f ca="1">AH16*[10]Population!$N35/[11]Population!$Y14</f>
        <v>21353.010470295372</v>
      </c>
      <c r="T16" s="24" t="s">
        <v>10</v>
      </c>
      <c r="U16" s="42">
        <f>'[9]Formatted Vehicle Summary'!$C$73</f>
        <v>22769.060554</v>
      </c>
      <c r="V16" s="43">
        <f t="shared" si="2"/>
        <v>23065.530210799996</v>
      </c>
      <c r="W16" s="43">
        <f t="shared" si="3"/>
        <v>23361.9998676</v>
      </c>
      <c r="X16" s="43">
        <f t="shared" si="6"/>
        <v>23658.469524399996</v>
      </c>
      <c r="Y16" s="43">
        <f t="shared" si="7"/>
        <v>23954.939181199996</v>
      </c>
      <c r="Z16" s="43">
        <f>'[9]Formatted Vehicle Summary'!$C$74</f>
        <v>24251.408837999999</v>
      </c>
      <c r="AA16" s="43">
        <f>'[9]Formatted Vehicle Summary'!$C$75</f>
        <v>24688.731014000001</v>
      </c>
      <c r="AB16" s="43">
        <f>'[9]Formatted Vehicle Summary'!$C$76</f>
        <v>25276.096098000002</v>
      </c>
      <c r="AC16" s="43">
        <f>'[9]Formatted Vehicle Summary'!$C$77</f>
        <v>25183.30646</v>
      </c>
      <c r="AD16" s="43">
        <f>'[9]Formatted Vehicle Summary'!$C$78</f>
        <v>25228.671904999999</v>
      </c>
      <c r="AE16" s="43">
        <f>'[9]Formatted Vehicle Summary'!$C$79</f>
        <v>25265.305412000002</v>
      </c>
      <c r="AF16" s="56">
        <f ca="1">$AE16*'[8]Total Distance Tables Sup #1'!I$117/'[8]Total Distance Tables Sup #1'!$H$117</f>
        <v>24615.547219001543</v>
      </c>
      <c r="AG16" s="56">
        <f ca="1">$AE16*'[8]Total Distance Tables Sup #1'!J$117/'[8]Total Distance Tables Sup #1'!$H$117</f>
        <v>23906.158696210514</v>
      </c>
      <c r="AH16" s="57">
        <f ca="1">$AE16*'[8]Total Distance Tables Sup #1'!K$117/'[8]Total Distance Tables Sup #1'!$H$117</f>
        <v>23167.318549470798</v>
      </c>
    </row>
    <row r="17" spans="3:34" ht="15.5" x14ac:dyDescent="0.35">
      <c r="C17" s="24" t="s">
        <v>11</v>
      </c>
      <c r="D17" s="42">
        <f>'[9]Formatted Vehicle Summary'!$C$80</f>
        <v>392663.75485000003</v>
      </c>
      <c r="E17" s="43">
        <f t="shared" si="0"/>
        <v>404878.27477164147</v>
      </c>
      <c r="F17" s="43">
        <f t="shared" si="1"/>
        <v>417092.79469328292</v>
      </c>
      <c r="G17" s="43">
        <f t="shared" si="4"/>
        <v>429307.31461492449</v>
      </c>
      <c r="H17" s="43">
        <f t="shared" si="5"/>
        <v>441521.83453656588</v>
      </c>
      <c r="I17" s="43">
        <f>Z17*[10]Population!I36/[11]Population!T15</f>
        <v>453736.35445820738</v>
      </c>
      <c r="J17" s="43">
        <f>AA17*[10]Population!J36/[11]Population!U15</f>
        <v>499953.07756356627</v>
      </c>
      <c r="K17" s="43">
        <f>AB17*[10]Population!K36/[11]Population!V15</f>
        <v>538421.86914724857</v>
      </c>
      <c r="L17" s="43">
        <f>AC17*[10]Population!L36/[11]Population!W15</f>
        <v>573350.30698809249</v>
      </c>
      <c r="M17" s="43">
        <f>AD17*[10]Population!M36/[11]Population!X15</f>
        <v>603971.54930031055</v>
      </c>
      <c r="N17" s="43">
        <f>AE17*[10]Population!$N36/[11]Population!$Y15</f>
        <v>635117.76024090557</v>
      </c>
      <c r="O17" s="43">
        <f ca="1">AF17*[10]Population!$N36/[11]Population!$Y15</f>
        <v>656566.24198968941</v>
      </c>
      <c r="P17" s="43">
        <f ca="1">AG17*[10]Population!$N36/[11]Population!$Y15</f>
        <v>676634.45820020873</v>
      </c>
      <c r="Q17" s="44">
        <f ca="1">AH17*[10]Population!$N36/[11]Population!$Y15</f>
        <v>695873.77723682916</v>
      </c>
      <c r="T17" s="24" t="s">
        <v>11</v>
      </c>
      <c r="U17" s="42">
        <f>'[9]Formatted Vehicle Summary'!$C$80</f>
        <v>392663.75485000003</v>
      </c>
      <c r="V17" s="43">
        <f t="shared" si="2"/>
        <v>402829.85854800005</v>
      </c>
      <c r="W17" s="43">
        <f t="shared" si="3"/>
        <v>412995.96224599995</v>
      </c>
      <c r="X17" s="43">
        <f t="shared" si="6"/>
        <v>423162.06594400003</v>
      </c>
      <c r="Y17" s="43">
        <f t="shared" si="7"/>
        <v>433328.16964199999</v>
      </c>
      <c r="Z17" s="43">
        <f>'[9]Formatted Vehicle Summary'!$C$81</f>
        <v>443494.27334000001</v>
      </c>
      <c r="AA17" s="43">
        <f>'[9]Formatted Vehicle Summary'!$C$82</f>
        <v>479525.11361</v>
      </c>
      <c r="AB17" s="43">
        <f>'[9]Formatted Vehicle Summary'!$C$83</f>
        <v>514770.04817000002</v>
      </c>
      <c r="AC17" s="43">
        <f>'[9]Formatted Vehicle Summary'!$C$84</f>
        <v>547447.12028999999</v>
      </c>
      <c r="AD17" s="43">
        <f>'[9]Formatted Vehicle Summary'!$C$85</f>
        <v>576408.51139</v>
      </c>
      <c r="AE17" s="43">
        <f>'[9]Formatted Vehicle Summary'!$C$86</f>
        <v>605899.23627999995</v>
      </c>
      <c r="AF17" s="56">
        <f ca="1">$AE17*'[8]Total Distance Tables Sup #1'!I$128/'[8]Total Distance Tables Sup #1'!$H$128</f>
        <v>626360.98294257838</v>
      </c>
      <c r="AG17" s="56">
        <f ca="1">$AE17*'[8]Total Distance Tables Sup #1'!J$128/'[8]Total Distance Tables Sup #1'!$H$128</f>
        <v>645505.96303389792</v>
      </c>
      <c r="AH17" s="57">
        <f ca="1">$AE17*'[8]Total Distance Tables Sup #1'!K$128/'[8]Total Distance Tables Sup #1'!$H$128</f>
        <v>663860.17927627463</v>
      </c>
    </row>
    <row r="18" spans="3:34" ht="15.5" x14ac:dyDescent="0.35">
      <c r="C18" s="24" t="s">
        <v>12</v>
      </c>
      <c r="D18" s="42">
        <f>'[9]Formatted Vehicle Summary'!$C$87</f>
        <v>135772.67147</v>
      </c>
      <c r="E18" s="43">
        <f t="shared" si="0"/>
        <v>139896.8771195157</v>
      </c>
      <c r="F18" s="43">
        <f t="shared" si="1"/>
        <v>144021.0827690314</v>
      </c>
      <c r="G18" s="43">
        <f t="shared" si="4"/>
        <v>148145.28841854708</v>
      </c>
      <c r="H18" s="43">
        <f t="shared" si="5"/>
        <v>152269.49406806278</v>
      </c>
      <c r="I18" s="43">
        <f>Z18*[10]Population!I37/[11]Population!T16</f>
        <v>156393.69971757845</v>
      </c>
      <c r="J18" s="43">
        <f>AA18*[10]Population!J37/[11]Population!U16</f>
        <v>171541.94279207016</v>
      </c>
      <c r="K18" s="43">
        <f>AB18*[10]Population!K37/[11]Population!V16</f>
        <v>184000.66074157652</v>
      </c>
      <c r="L18" s="43">
        <f>AC18*[10]Population!L37/[11]Population!W16</f>
        <v>194876.71703139931</v>
      </c>
      <c r="M18" s="43">
        <f>AD18*[10]Population!M37/[11]Population!X16</f>
        <v>204393.48712298388</v>
      </c>
      <c r="N18" s="43">
        <f>AE18*[10]Population!$N37/[11]Population!$Y16</f>
        <v>214026.86342998871</v>
      </c>
      <c r="O18" s="43">
        <f ca="1">AF18*[10]Population!$N37/[11]Population!$Y16</f>
        <v>220203.33259127077</v>
      </c>
      <c r="P18" s="43">
        <f ca="1">AG18*[10]Population!$N37/[11]Population!$Y16</f>
        <v>225845.74284049615</v>
      </c>
      <c r="Q18" s="44">
        <f ca="1">AH18*[10]Population!$N37/[11]Population!$Y16</f>
        <v>231145.23383758226</v>
      </c>
      <c r="T18" s="24" t="s">
        <v>12</v>
      </c>
      <c r="U18" s="42">
        <f>'[9]Formatted Vehicle Summary'!$C$87</f>
        <v>135772.67147</v>
      </c>
      <c r="V18" s="43">
        <f t="shared" si="2"/>
        <v>138649.51063</v>
      </c>
      <c r="W18" s="43">
        <f t="shared" si="3"/>
        <v>141526.34979000001</v>
      </c>
      <c r="X18" s="43">
        <f t="shared" si="6"/>
        <v>144403.18894999998</v>
      </c>
      <c r="Y18" s="43">
        <f t="shared" si="7"/>
        <v>147280.02810999998</v>
      </c>
      <c r="Z18" s="43">
        <f>'[9]Formatted Vehicle Summary'!$C$88</f>
        <v>150156.86726999999</v>
      </c>
      <c r="AA18" s="43">
        <f>'[9]Formatted Vehicle Summary'!$C$89</f>
        <v>161363.68268999999</v>
      </c>
      <c r="AB18" s="43">
        <f>'[9]Formatted Vehicle Summary'!$C$90</f>
        <v>172630.20835999999</v>
      </c>
      <c r="AC18" s="43">
        <f>'[9]Formatted Vehicle Summary'!$C$91</f>
        <v>182652.7225</v>
      </c>
      <c r="AD18" s="43">
        <f>'[9]Formatted Vehicle Summary'!$C$92</f>
        <v>191716.70449</v>
      </c>
      <c r="AE18" s="43">
        <f>'[9]Formatted Vehicle Summary'!$C$93</f>
        <v>200964.34541000001</v>
      </c>
      <c r="AF18" s="56">
        <f ca="1">$AE18*'[8]Total Distance Tables Sup #1'!I$139/'[8]Total Distance Tables Sup #1'!$H$139</f>
        <v>206763.85142550603</v>
      </c>
      <c r="AG18" s="56">
        <f ca="1">$AE18*'[8]Total Distance Tables Sup #1'!J$139/'[8]Total Distance Tables Sup #1'!$H$139</f>
        <v>212061.89328856018</v>
      </c>
      <c r="AH18" s="57">
        <f ca="1">$AE18*'[8]Total Distance Tables Sup #1'!K$139/'[8]Total Distance Tables Sup #1'!$H$139</f>
        <v>217037.94499612527</v>
      </c>
    </row>
    <row r="19" spans="3:34" ht="16" thickBot="1" x14ac:dyDescent="0.4">
      <c r="C19" s="25" t="s">
        <v>13</v>
      </c>
      <c r="D19" s="45">
        <f>'[9]Formatted Vehicle Summary'!$C$94</f>
        <v>68647.598836000005</v>
      </c>
      <c r="E19" s="46">
        <f t="shared" si="0"/>
        <v>69606.694991017896</v>
      </c>
      <c r="F19" s="46">
        <f t="shared" si="1"/>
        <v>70565.791146035772</v>
      </c>
      <c r="G19" s="46">
        <f t="shared" si="4"/>
        <v>71524.887301053663</v>
      </c>
      <c r="H19" s="46">
        <f t="shared" si="5"/>
        <v>72483.983456071554</v>
      </c>
      <c r="I19" s="46">
        <f>Z19*[10]Population!I38/[11]Population!T17</f>
        <v>73443.07961108943</v>
      </c>
      <c r="J19" s="46">
        <f>AA19*[10]Population!J38/[11]Population!U17</f>
        <v>75764.962206199198</v>
      </c>
      <c r="K19" s="46">
        <f>AB19*[10]Population!K38/[11]Population!V17</f>
        <v>77585.462354985895</v>
      </c>
      <c r="L19" s="46">
        <f>AC19*[10]Population!L38/[11]Population!W17</f>
        <v>78951.082134796758</v>
      </c>
      <c r="M19" s="46">
        <f>AD19*[10]Population!M38/[11]Population!X17</f>
        <v>79504.283281632655</v>
      </c>
      <c r="N19" s="46">
        <f>AE19*[10]Population!$N38/[11]Population!$Y17</f>
        <v>79992.38437772727</v>
      </c>
      <c r="O19" s="46">
        <f ca="1">AF19*[10]Population!$N38/[11]Population!$Y17</f>
        <v>78920.838412017256</v>
      </c>
      <c r="P19" s="46">
        <f ca="1">AG19*[10]Population!$N38/[11]Population!$Y17</f>
        <v>77615.793044310907</v>
      </c>
      <c r="Q19" s="47">
        <f ca="1">AH19*[10]Population!$N38/[11]Population!$Y17</f>
        <v>76168.284975640257</v>
      </c>
      <c r="T19" s="25" t="s">
        <v>13</v>
      </c>
      <c r="U19" s="45">
        <f>'[9]Formatted Vehicle Summary'!$C$94</f>
        <v>68647.598836000005</v>
      </c>
      <c r="V19" s="46">
        <f t="shared" si="2"/>
        <v>69488.238410999998</v>
      </c>
      <c r="W19" s="46">
        <f t="shared" si="3"/>
        <v>70328.877986000007</v>
      </c>
      <c r="X19" s="46">
        <f t="shared" si="6"/>
        <v>71169.517561000001</v>
      </c>
      <c r="Y19" s="46">
        <f t="shared" si="7"/>
        <v>72010.157136000009</v>
      </c>
      <c r="Z19" s="46">
        <f>'[9]Formatted Vehicle Summary'!$C$95</f>
        <v>72850.796711000003</v>
      </c>
      <c r="AA19" s="46">
        <f>'[9]Formatted Vehicle Summary'!$C$96</f>
        <v>74856.690931000005</v>
      </c>
      <c r="AB19" s="46">
        <f>'[9]Formatted Vehicle Summary'!$C$97</f>
        <v>76505.744191000005</v>
      </c>
      <c r="AC19" s="46">
        <f>'[9]Formatted Vehicle Summary'!$C$98</f>
        <v>77616.918718999994</v>
      </c>
      <c r="AD19" s="46">
        <f>'[9]Formatted Vehicle Summary'!$C$99</f>
        <v>77914.197616000005</v>
      </c>
      <c r="AE19" s="46">
        <f>'[9]Formatted Vehicle Summary'!$C$100</f>
        <v>78214.775836000001</v>
      </c>
      <c r="AF19" s="59">
        <f ca="1">$AE19*'[8]Total Distance Tables Sup #1'!I$150/'[8]Total Distance Tables Sup #1'!$H$150</f>
        <v>77167.042002861315</v>
      </c>
      <c r="AG19" s="59">
        <f ca="1">$AE19*'[8]Total Distance Tables Sup #1'!J$150/'[8]Total Distance Tables Sup #1'!$H$150</f>
        <v>75890.99764332622</v>
      </c>
      <c r="AH19" s="60">
        <f ca="1">$AE19*'[8]Total Distance Tables Sup #1'!K$150/'[8]Total Distance Tables Sup #1'!$H$150</f>
        <v>74475.656420626037</v>
      </c>
    </row>
    <row r="20" spans="3:34" ht="18" customHeight="1" thickTop="1" thickBot="1" x14ac:dyDescent="0.4">
      <c r="C20" s="20" t="s">
        <v>24</v>
      </c>
      <c r="D20" s="48">
        <f t="shared" ref="D20:N20" si="8">SUM(D6:D19)</f>
        <v>2769927.1883470002</v>
      </c>
      <c r="E20" s="48">
        <f t="shared" si="8"/>
        <v>2839364.0846109018</v>
      </c>
      <c r="F20" s="48">
        <f t="shared" si="8"/>
        <v>2908800.9808748043</v>
      </c>
      <c r="G20" s="48">
        <f t="shared" si="8"/>
        <v>2978237.8771387069</v>
      </c>
      <c r="H20" s="48">
        <f t="shared" si="8"/>
        <v>3047674.7734026085</v>
      </c>
      <c r="I20" s="48">
        <f t="shared" si="8"/>
        <v>3117111.6696665105</v>
      </c>
      <c r="J20" s="48">
        <f t="shared" si="8"/>
        <v>3381147.8367554462</v>
      </c>
      <c r="K20" s="48">
        <f t="shared" si="8"/>
        <v>3595904.8965521851</v>
      </c>
      <c r="L20" s="48">
        <f t="shared" si="8"/>
        <v>3786839.9071526485</v>
      </c>
      <c r="M20" s="48">
        <f t="shared" si="8"/>
        <v>3948750.3485253318</v>
      </c>
      <c r="N20" s="48">
        <f t="shared" si="8"/>
        <v>4113674.9746000459</v>
      </c>
      <c r="O20" s="48">
        <f t="shared" ref="O20:Q20" ca="1" si="9">SUM(O6:O19)</f>
        <v>4208380.9408517871</v>
      </c>
      <c r="P20" s="48">
        <f t="shared" ca="1" si="9"/>
        <v>4292967.1095466847</v>
      </c>
      <c r="Q20" s="49">
        <f t="shared" ca="1" si="9"/>
        <v>4371260.8365497058</v>
      </c>
      <c r="T20" s="20" t="s">
        <v>24</v>
      </c>
      <c r="U20" s="48">
        <f t="shared" ref="U20:AH20" si="10">SUM(U6:U19)</f>
        <v>2769927.1883470002</v>
      </c>
      <c r="V20" s="48">
        <f t="shared" si="10"/>
        <v>2823292.0515112001</v>
      </c>
      <c r="W20" s="48">
        <f t="shared" si="10"/>
        <v>2876656.9146753997</v>
      </c>
      <c r="X20" s="48">
        <f t="shared" si="10"/>
        <v>2930021.7778395996</v>
      </c>
      <c r="Y20" s="48">
        <f t="shared" si="10"/>
        <v>2983386.6410038001</v>
      </c>
      <c r="Z20" s="48">
        <f t="shared" si="10"/>
        <v>3036751.5041680001</v>
      </c>
      <c r="AA20" s="48">
        <f t="shared" si="10"/>
        <v>3244384.7126659998</v>
      </c>
      <c r="AB20" s="48">
        <f t="shared" si="10"/>
        <v>3438278.1664690003</v>
      </c>
      <c r="AC20" s="48">
        <f t="shared" si="10"/>
        <v>3613175.8231110009</v>
      </c>
      <c r="AD20" s="48">
        <f t="shared" si="10"/>
        <v>3763154.6364330007</v>
      </c>
      <c r="AE20" s="48">
        <f t="shared" si="10"/>
        <v>3915835.7535930001</v>
      </c>
      <c r="AF20" s="48">
        <f t="shared" ca="1" si="10"/>
        <v>4005958.4583627055</v>
      </c>
      <c r="AG20" s="48">
        <f t="shared" ca="1" si="10"/>
        <v>4086460.6834966303</v>
      </c>
      <c r="AH20" s="49">
        <f t="shared" ca="1" si="10"/>
        <v>4160986.216770459</v>
      </c>
    </row>
    <row r="21" spans="3:34" ht="16.5" thickTop="1" thickBot="1" x14ac:dyDescent="0.4">
      <c r="C21" s="3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T21" s="8" t="s">
        <v>35</v>
      </c>
      <c r="U21" s="75">
        <f>'[12]Formatted Vehicle Summary'!$C$3</f>
        <v>2769927.1883999999</v>
      </c>
      <c r="V21" s="48">
        <f>U21*4/5 + Z21/5</f>
        <v>2823292.0515599996</v>
      </c>
      <c r="W21" s="48">
        <f>U21*3/5+Z21*2/5</f>
        <v>2876656.9147199998</v>
      </c>
      <c r="X21" s="48">
        <f t="shared" ref="X21" si="11">U21*2/5+Z21*3/5</f>
        <v>2930021.77788</v>
      </c>
      <c r="Y21" s="48">
        <f t="shared" ref="Y21" si="12">U21*1/5+Z21*4/5</f>
        <v>2983386.6410399997</v>
      </c>
      <c r="Z21" s="48">
        <f>'[12]Formatted Vehicle Summary'!$C$4</f>
        <v>3036751.5041999999</v>
      </c>
      <c r="AA21" s="48">
        <f>'[12]Formatted Vehicle Summary'!$C$5</f>
        <v>3244384.7126000002</v>
      </c>
      <c r="AB21" s="48">
        <f>'[12]Formatted Vehicle Summary'!$C$6</f>
        <v>3438278.1664</v>
      </c>
      <c r="AC21" s="48">
        <f>'[12]Formatted Vehicle Summary'!$C$7</f>
        <v>3613175.8231000002</v>
      </c>
      <c r="AD21" s="48">
        <f>'[12]Formatted Vehicle Summary'!$C$8</f>
        <v>3763154.6364000002</v>
      </c>
      <c r="AE21" s="48">
        <f>'[12]Formatted Vehicle Summary'!$C$9</f>
        <v>3915835.7535999999</v>
      </c>
      <c r="AF21" s="62"/>
      <c r="AG21" s="62"/>
      <c r="AH21" s="63"/>
    </row>
    <row r="22" spans="3:34" ht="13" thickTop="1" x14ac:dyDescent="0.25"/>
    <row r="23" spans="3:34" ht="13" thickBot="1" x14ac:dyDescent="0.3"/>
    <row r="24" spans="3:34" ht="16" thickTop="1" x14ac:dyDescent="0.35">
      <c r="C24" s="32" t="s">
        <v>133</v>
      </c>
      <c r="D24" s="34"/>
      <c r="E24" s="33"/>
      <c r="F24" s="33"/>
      <c r="G24" s="33"/>
      <c r="H24" s="33"/>
      <c r="I24" s="34"/>
      <c r="J24" s="34"/>
      <c r="K24" s="34"/>
      <c r="L24" s="34"/>
      <c r="M24" s="34"/>
      <c r="N24" s="34"/>
      <c r="O24" s="34"/>
      <c r="P24" s="34"/>
      <c r="Q24" s="35"/>
    </row>
    <row r="25" spans="3:34" ht="13.5" thickBot="1" x14ac:dyDescent="0.35">
      <c r="C25" s="18"/>
      <c r="D25" s="65" t="s">
        <v>25</v>
      </c>
      <c r="E25" s="65" t="s">
        <v>37</v>
      </c>
      <c r="F25" s="65" t="s">
        <v>38</v>
      </c>
      <c r="G25" s="37" t="s">
        <v>177</v>
      </c>
      <c r="H25" s="37" t="s">
        <v>178</v>
      </c>
      <c r="I25" s="65" t="s">
        <v>26</v>
      </c>
      <c r="J25" s="65" t="s">
        <v>27</v>
      </c>
      <c r="K25" s="65" t="s">
        <v>28</v>
      </c>
      <c r="L25" s="65" t="s">
        <v>29</v>
      </c>
      <c r="M25" s="65" t="s">
        <v>30</v>
      </c>
      <c r="N25" s="65" t="s">
        <v>31</v>
      </c>
      <c r="O25" s="37" t="s">
        <v>174</v>
      </c>
      <c r="P25" s="37" t="s">
        <v>175</v>
      </c>
      <c r="Q25" s="38" t="s">
        <v>176</v>
      </c>
    </row>
    <row r="26" spans="3:34" ht="14" thickTop="1" thickBot="1" x14ac:dyDescent="0.35">
      <c r="C26" s="70"/>
      <c r="D26" s="71" t="s">
        <v>39</v>
      </c>
      <c r="E26" s="71" t="s">
        <v>32</v>
      </c>
      <c r="F26" s="71" t="s">
        <v>32</v>
      </c>
      <c r="G26" s="71" t="s">
        <v>32</v>
      </c>
      <c r="H26" s="71" t="s">
        <v>32</v>
      </c>
      <c r="I26" s="71" t="s">
        <v>32</v>
      </c>
      <c r="J26" s="71" t="s">
        <v>32</v>
      </c>
      <c r="K26" s="71" t="s">
        <v>32</v>
      </c>
      <c r="L26" s="71" t="s">
        <v>32</v>
      </c>
      <c r="M26" s="71" t="s">
        <v>32</v>
      </c>
      <c r="N26" s="71" t="s">
        <v>32</v>
      </c>
      <c r="O26" s="65" t="s">
        <v>32</v>
      </c>
      <c r="P26" s="65" t="s">
        <v>32</v>
      </c>
      <c r="Q26" s="66" t="s">
        <v>32</v>
      </c>
    </row>
    <row r="27" spans="3:34" ht="16" thickTop="1" x14ac:dyDescent="0.35">
      <c r="C27" s="24" t="s">
        <v>0</v>
      </c>
      <c r="D27" s="39">
        <f t="shared" ref="D27:H40" si="13">D6</f>
        <v>104978.65624</v>
      </c>
      <c r="E27" s="40">
        <f t="shared" si="13"/>
        <v>107520.60237328787</v>
      </c>
      <c r="F27" s="40">
        <f t="shared" si="13"/>
        <v>110062.54850657572</v>
      </c>
      <c r="G27" s="40">
        <f t="shared" si="13"/>
        <v>112604.49463986358</v>
      </c>
      <c r="H27" s="40">
        <f t="shared" si="13"/>
        <v>115146.44077315144</v>
      </c>
      <c r="I27" s="40">
        <f t="shared" ref="I27:N40" si="14">I6*(1-I47)</f>
        <v>117688.38690643929</v>
      </c>
      <c r="J27" s="40">
        <f t="shared" si="14"/>
        <v>127006.25357483141</v>
      </c>
      <c r="K27" s="40">
        <f t="shared" si="14"/>
        <v>120828.20358019833</v>
      </c>
      <c r="L27" s="40">
        <f t="shared" si="14"/>
        <v>112503.93538718979</v>
      </c>
      <c r="M27" s="40">
        <f t="shared" si="14"/>
        <v>101918.88475383597</v>
      </c>
      <c r="N27" s="40">
        <f t="shared" si="14"/>
        <v>90332.795680489144</v>
      </c>
      <c r="O27" s="53">
        <f t="shared" ref="O27:Q27" ca="1" si="15">O6*(1-O47)</f>
        <v>76319.868024481315</v>
      </c>
      <c r="P27" s="53">
        <f t="shared" ca="1" si="15"/>
        <v>61729.182318092222</v>
      </c>
      <c r="Q27" s="54">
        <f t="shared" ca="1" si="15"/>
        <v>46725.912711573998</v>
      </c>
      <c r="S27" s="43"/>
      <c r="T27" s="43"/>
      <c r="U27" s="43"/>
      <c r="V27" s="43"/>
      <c r="W27" s="43"/>
      <c r="X27" s="43"/>
    </row>
    <row r="28" spans="3:34" ht="15.5" x14ac:dyDescent="0.35">
      <c r="C28" s="24" t="s">
        <v>1</v>
      </c>
      <c r="D28" s="42">
        <f t="shared" si="13"/>
        <v>872467.79544999998</v>
      </c>
      <c r="E28" s="43">
        <f t="shared" si="13"/>
        <v>896167.77669740259</v>
      </c>
      <c r="F28" s="43">
        <f t="shared" si="13"/>
        <v>919867.75794480531</v>
      </c>
      <c r="G28" s="43">
        <f t="shared" ref="G28:H28" si="16">G7</f>
        <v>943567.73919220781</v>
      </c>
      <c r="H28" s="43">
        <f t="shared" si="16"/>
        <v>967267.72043961054</v>
      </c>
      <c r="I28" s="43">
        <f t="shared" si="14"/>
        <v>990967.70168701315</v>
      </c>
      <c r="J28" s="43">
        <f t="shared" si="14"/>
        <v>1086635.2026375637</v>
      </c>
      <c r="K28" s="43">
        <f t="shared" si="14"/>
        <v>1049477.3935368205</v>
      </c>
      <c r="L28" s="43">
        <f t="shared" si="14"/>
        <v>991794.32418837422</v>
      </c>
      <c r="M28" s="43">
        <f t="shared" si="14"/>
        <v>913718.61722547607</v>
      </c>
      <c r="N28" s="43">
        <f t="shared" si="14"/>
        <v>822991.94992972375</v>
      </c>
      <c r="O28" s="56">
        <f t="shared" ref="O28:Q28" ca="1" si="17">O7*(1-O48)</f>
        <v>708458.87900985288</v>
      </c>
      <c r="P28" s="56">
        <f t="shared" ca="1" si="17"/>
        <v>583736.26597156876</v>
      </c>
      <c r="Q28" s="57">
        <f t="shared" ca="1" si="17"/>
        <v>450038.93830216501</v>
      </c>
      <c r="S28" s="43"/>
      <c r="T28" s="43"/>
      <c r="U28" s="43"/>
      <c r="V28" s="43"/>
      <c r="W28" s="43"/>
      <c r="X28" s="43"/>
    </row>
    <row r="29" spans="3:34" ht="15.5" x14ac:dyDescent="0.35">
      <c r="C29" s="24" t="s">
        <v>2</v>
      </c>
      <c r="D29" s="42">
        <f t="shared" si="13"/>
        <v>266387.73346999998</v>
      </c>
      <c r="E29" s="43">
        <f t="shared" si="13"/>
        <v>273297.37378043367</v>
      </c>
      <c r="F29" s="43">
        <f t="shared" si="13"/>
        <v>280207.01409086742</v>
      </c>
      <c r="G29" s="43">
        <f t="shared" ref="G29:H29" si="18">G8</f>
        <v>287116.65440130112</v>
      </c>
      <c r="H29" s="43">
        <f t="shared" si="18"/>
        <v>294026.29471173487</v>
      </c>
      <c r="I29" s="43">
        <f t="shared" si="14"/>
        <v>300935.93502216856</v>
      </c>
      <c r="J29" s="43">
        <f t="shared" si="14"/>
        <v>325826.33531322994</v>
      </c>
      <c r="K29" s="43">
        <f t="shared" si="14"/>
        <v>310721.96471089264</v>
      </c>
      <c r="L29" s="43">
        <f t="shared" si="14"/>
        <v>289942.88594039041</v>
      </c>
      <c r="M29" s="43">
        <f t="shared" si="14"/>
        <v>263120.1658924197</v>
      </c>
      <c r="N29" s="43">
        <f t="shared" si="14"/>
        <v>233831.73071431939</v>
      </c>
      <c r="O29" s="56">
        <f t="shared" ref="O29:Q29" ca="1" si="19">O8*(1-O49)</f>
        <v>198128.92649448293</v>
      </c>
      <c r="P29" s="56">
        <f t="shared" ca="1" si="19"/>
        <v>160637.55538930386</v>
      </c>
      <c r="Q29" s="57">
        <f t="shared" ca="1" si="19"/>
        <v>121828.80862833768</v>
      </c>
      <c r="S29" s="43"/>
      <c r="T29" s="43"/>
      <c r="U29" s="43"/>
      <c r="V29" s="43"/>
      <c r="W29" s="43"/>
      <c r="X29" s="43"/>
    </row>
    <row r="30" spans="3:34" ht="15.5" x14ac:dyDescent="0.35">
      <c r="C30" s="24" t="s">
        <v>3</v>
      </c>
      <c r="D30" s="42">
        <f t="shared" si="13"/>
        <v>183297.22020000001</v>
      </c>
      <c r="E30" s="43">
        <f t="shared" si="13"/>
        <v>187521.90414382337</v>
      </c>
      <c r="F30" s="43">
        <f t="shared" si="13"/>
        <v>191746.5880876467</v>
      </c>
      <c r="G30" s="43">
        <f t="shared" ref="G30:H30" si="20">G9</f>
        <v>195971.27203147003</v>
      </c>
      <c r="H30" s="43">
        <f t="shared" si="20"/>
        <v>200195.95597529339</v>
      </c>
      <c r="I30" s="43">
        <f t="shared" si="14"/>
        <v>204420.63991911671</v>
      </c>
      <c r="J30" s="43">
        <f t="shared" si="14"/>
        <v>219682.62282380316</v>
      </c>
      <c r="K30" s="43">
        <f t="shared" si="14"/>
        <v>208114.26057004803</v>
      </c>
      <c r="L30" s="43">
        <f t="shared" si="14"/>
        <v>193069.10868264167</v>
      </c>
      <c r="M30" s="43">
        <f t="shared" si="14"/>
        <v>174514.50148681004</v>
      </c>
      <c r="N30" s="43">
        <f t="shared" si="14"/>
        <v>154605.1044915012</v>
      </c>
      <c r="O30" s="56">
        <f t="shared" ref="O30:Q30" ca="1" si="21">O9*(1-O50)</f>
        <v>130032.24634160752</v>
      </c>
      <c r="P30" s="56">
        <f t="shared" ca="1" si="21"/>
        <v>104642.76223572488</v>
      </c>
      <c r="Q30" s="57">
        <f t="shared" ca="1" si="21"/>
        <v>78767.365265023458</v>
      </c>
      <c r="S30" s="43"/>
      <c r="T30" s="43"/>
      <c r="U30" s="43"/>
      <c r="V30" s="43"/>
      <c r="W30" s="43"/>
      <c r="X30" s="43"/>
    </row>
    <row r="31" spans="3:34" ht="15.5" x14ac:dyDescent="0.35">
      <c r="C31" s="24" t="s">
        <v>4</v>
      </c>
      <c r="D31" s="42">
        <f t="shared" si="13"/>
        <v>26650.955902999998</v>
      </c>
      <c r="E31" s="43">
        <f t="shared" si="13"/>
        <v>27006.342821084101</v>
      </c>
      <c r="F31" s="43">
        <f t="shared" si="13"/>
        <v>27361.7297391682</v>
      </c>
      <c r="G31" s="43">
        <f t="shared" ref="G31:H31" si="22">G10</f>
        <v>27717.1166572523</v>
      </c>
      <c r="H31" s="43">
        <f t="shared" si="22"/>
        <v>28072.503575336399</v>
      </c>
      <c r="I31" s="43">
        <f t="shared" si="14"/>
        <v>28427.890493420502</v>
      </c>
      <c r="J31" s="43">
        <f t="shared" si="14"/>
        <v>29556.160363503106</v>
      </c>
      <c r="K31" s="43">
        <f t="shared" si="14"/>
        <v>27748.246779629626</v>
      </c>
      <c r="L31" s="43">
        <f t="shared" si="14"/>
        <v>25378.239301947327</v>
      </c>
      <c r="M31" s="43">
        <f t="shared" si="14"/>
        <v>22625.409000553529</v>
      </c>
      <c r="N31" s="43">
        <f t="shared" si="14"/>
        <v>19768.030671308821</v>
      </c>
      <c r="O31" s="56">
        <f t="shared" ref="O31:Q31" ca="1" si="23">O10*(1-O51)</f>
        <v>16318.748232760698</v>
      </c>
      <c r="P31" s="56">
        <f t="shared" ca="1" si="23"/>
        <v>12891.304653204083</v>
      </c>
      <c r="Q31" s="57">
        <f t="shared" ca="1" si="23"/>
        <v>9526.7297821500815</v>
      </c>
      <c r="S31" s="43"/>
      <c r="T31" s="43"/>
      <c r="U31" s="43"/>
      <c r="V31" s="43"/>
      <c r="W31" s="43"/>
      <c r="X31" s="43"/>
    </row>
    <row r="32" spans="3:34" ht="15.5" x14ac:dyDescent="0.35">
      <c r="C32" s="24" t="s">
        <v>5</v>
      </c>
      <c r="D32" s="42">
        <f t="shared" si="13"/>
        <v>103541.16636</v>
      </c>
      <c r="E32" s="43">
        <f t="shared" si="13"/>
        <v>105677.93443759633</v>
      </c>
      <c r="F32" s="43">
        <f t="shared" si="13"/>
        <v>107814.70251519262</v>
      </c>
      <c r="G32" s="43">
        <f t="shared" ref="G32:H32" si="24">G11</f>
        <v>109951.47059278894</v>
      </c>
      <c r="H32" s="43">
        <f t="shared" si="24"/>
        <v>112088.23867038527</v>
      </c>
      <c r="I32" s="43">
        <f t="shared" si="14"/>
        <v>114225.00674798159</v>
      </c>
      <c r="J32" s="43">
        <f t="shared" si="14"/>
        <v>122260.6051689634</v>
      </c>
      <c r="K32" s="43">
        <f t="shared" si="14"/>
        <v>115426.72859724471</v>
      </c>
      <c r="L32" s="43">
        <f t="shared" si="14"/>
        <v>106928.14592608715</v>
      </c>
      <c r="M32" s="43">
        <f t="shared" si="14"/>
        <v>96487.958666886072</v>
      </c>
      <c r="N32" s="43">
        <f t="shared" si="14"/>
        <v>85305.407792775441</v>
      </c>
      <c r="O32" s="56">
        <f t="shared" ref="O32:Q32" ca="1" si="25">O11*(1-O52)</f>
        <v>71974.266626180121</v>
      </c>
      <c r="P32" s="56">
        <f t="shared" ca="1" si="25"/>
        <v>58147.757086454847</v>
      </c>
      <c r="Q32" s="57">
        <f t="shared" ca="1" si="25"/>
        <v>43973.962263265355</v>
      </c>
      <c r="S32" s="43"/>
      <c r="T32" s="43"/>
      <c r="U32" s="43"/>
      <c r="V32" s="43"/>
      <c r="W32" s="43"/>
      <c r="X32" s="43"/>
    </row>
    <row r="33" spans="3:24" ht="15.5" x14ac:dyDescent="0.35">
      <c r="C33" s="24" t="s">
        <v>6</v>
      </c>
      <c r="D33" s="42">
        <f t="shared" si="13"/>
        <v>74060.272580000004</v>
      </c>
      <c r="E33" s="43">
        <f t="shared" si="13"/>
        <v>75741.023066495938</v>
      </c>
      <c r="F33" s="43">
        <f t="shared" si="13"/>
        <v>77421.773552991872</v>
      </c>
      <c r="G33" s="43">
        <f t="shared" ref="G33:H33" si="26">G12</f>
        <v>79102.524039487791</v>
      </c>
      <c r="H33" s="43">
        <f t="shared" si="26"/>
        <v>80783.274525983739</v>
      </c>
      <c r="I33" s="43">
        <f t="shared" si="14"/>
        <v>82464.025012479673</v>
      </c>
      <c r="J33" s="43">
        <f t="shared" si="14"/>
        <v>89338.439887620669</v>
      </c>
      <c r="K33" s="43">
        <f t="shared" si="14"/>
        <v>85405.35686034587</v>
      </c>
      <c r="L33" s="43">
        <f t="shared" si="14"/>
        <v>79568.556784436529</v>
      </c>
      <c r="M33" s="43">
        <f t="shared" si="14"/>
        <v>72576.686570525388</v>
      </c>
      <c r="N33" s="43">
        <f t="shared" si="14"/>
        <v>64827.511091290457</v>
      </c>
      <c r="O33" s="56">
        <f t="shared" ref="O33:Q33" ca="1" si="27">O12*(1-O53)</f>
        <v>55158.274355128429</v>
      </c>
      <c r="P33" s="56">
        <f t="shared" ca="1" si="27"/>
        <v>44929.847804760873</v>
      </c>
      <c r="Q33" s="57">
        <f t="shared" ca="1" si="27"/>
        <v>34251.762965666123</v>
      </c>
      <c r="S33" s="43"/>
      <c r="T33" s="43"/>
      <c r="U33" s="43"/>
      <c r="V33" s="43"/>
      <c r="W33" s="43"/>
      <c r="X33" s="43"/>
    </row>
    <row r="34" spans="3:24" ht="15.5" x14ac:dyDescent="0.35">
      <c r="C34" s="24" t="s">
        <v>7</v>
      </c>
      <c r="D34" s="42">
        <f t="shared" si="13"/>
        <v>146543.66057000001</v>
      </c>
      <c r="E34" s="43">
        <f t="shared" si="13"/>
        <v>149325.53594723323</v>
      </c>
      <c r="F34" s="43">
        <f t="shared" si="13"/>
        <v>152107.41132446646</v>
      </c>
      <c r="G34" s="43">
        <f t="shared" ref="G34:H34" si="28">G13</f>
        <v>154889.28670169966</v>
      </c>
      <c r="H34" s="43">
        <f t="shared" si="28"/>
        <v>157671.16207893289</v>
      </c>
      <c r="I34" s="43">
        <f t="shared" si="14"/>
        <v>160453.03745616612</v>
      </c>
      <c r="J34" s="43">
        <f t="shared" si="14"/>
        <v>169311.25062547167</v>
      </c>
      <c r="K34" s="43">
        <f t="shared" si="14"/>
        <v>158115.03619061058</v>
      </c>
      <c r="L34" s="43">
        <f t="shared" si="14"/>
        <v>145112.99548337326</v>
      </c>
      <c r="M34" s="43">
        <f t="shared" si="14"/>
        <v>129517.52624240181</v>
      </c>
      <c r="N34" s="43">
        <f t="shared" si="14"/>
        <v>113316.86479528445</v>
      </c>
      <c r="O34" s="56">
        <f t="shared" ref="O34:Q34" ca="1" si="29">O13*(1-O54)</f>
        <v>94535.484664517877</v>
      </c>
      <c r="P34" s="56">
        <f t="shared" ca="1" si="29"/>
        <v>75513.516884785335</v>
      </c>
      <c r="Q34" s="57">
        <f t="shared" ca="1" si="29"/>
        <v>56460.263948994456</v>
      </c>
      <c r="S34" s="43"/>
      <c r="T34" s="43"/>
      <c r="U34" s="43"/>
      <c r="V34" s="43"/>
      <c r="W34" s="43"/>
      <c r="X34" s="43"/>
    </row>
    <row r="35" spans="3:24" ht="15.5" x14ac:dyDescent="0.35">
      <c r="C35" s="24" t="s">
        <v>8</v>
      </c>
      <c r="D35" s="42">
        <f t="shared" si="13"/>
        <v>272805.11940000003</v>
      </c>
      <c r="E35" s="43">
        <f t="shared" si="13"/>
        <v>279030.28473547881</v>
      </c>
      <c r="F35" s="43">
        <f t="shared" si="13"/>
        <v>285255.45007095765</v>
      </c>
      <c r="G35" s="43">
        <f t="shared" ref="G35:H35" si="30">G14</f>
        <v>291480.61540643638</v>
      </c>
      <c r="H35" s="43">
        <f t="shared" si="30"/>
        <v>297705.78074191516</v>
      </c>
      <c r="I35" s="43">
        <f t="shared" si="14"/>
        <v>303930.94607739395</v>
      </c>
      <c r="J35" s="43">
        <f t="shared" si="14"/>
        <v>327976.06147351273</v>
      </c>
      <c r="K35" s="43">
        <f t="shared" si="14"/>
        <v>313192.78583899396</v>
      </c>
      <c r="L35" s="43">
        <f t="shared" si="14"/>
        <v>291839.65696832101</v>
      </c>
      <c r="M35" s="43">
        <f t="shared" si="14"/>
        <v>265980.12773715035</v>
      </c>
      <c r="N35" s="43">
        <f t="shared" si="14"/>
        <v>237241.53320427041</v>
      </c>
      <c r="O35" s="56">
        <f t="shared" ref="O35:Q35" ca="1" si="31">O14*(1-O55)</f>
        <v>202061.01662474792</v>
      </c>
      <c r="P35" s="56">
        <f t="shared" ca="1" si="31"/>
        <v>164726.62001437799</v>
      </c>
      <c r="Q35" s="57">
        <f t="shared" ca="1" si="31"/>
        <v>125657.21917036315</v>
      </c>
      <c r="S35" s="43"/>
      <c r="T35" s="43"/>
      <c r="U35" s="43"/>
      <c r="V35" s="43"/>
      <c r="W35" s="43"/>
      <c r="X35" s="43"/>
    </row>
    <row r="36" spans="3:24" ht="15.5" x14ac:dyDescent="0.35">
      <c r="C36" s="24" t="s">
        <v>9</v>
      </c>
      <c r="D36" s="42">
        <f t="shared" si="13"/>
        <v>99341.522463999994</v>
      </c>
      <c r="E36" s="43">
        <f t="shared" si="13"/>
        <v>100814.47881384502</v>
      </c>
      <c r="F36" s="43">
        <f t="shared" si="13"/>
        <v>102287.43516369007</v>
      </c>
      <c r="G36" s="43">
        <f t="shared" ref="G36:H36" si="32">G15</f>
        <v>103760.39151353508</v>
      </c>
      <c r="H36" s="43">
        <f t="shared" si="32"/>
        <v>105233.34786338013</v>
      </c>
      <c r="I36" s="43">
        <f t="shared" si="14"/>
        <v>106706.30421322516</v>
      </c>
      <c r="J36" s="43">
        <f t="shared" si="14"/>
        <v>112695.40003231683</v>
      </c>
      <c r="K36" s="43">
        <f t="shared" si="14"/>
        <v>105729.55059783031</v>
      </c>
      <c r="L36" s="43">
        <f t="shared" si="14"/>
        <v>96689.298581244555</v>
      </c>
      <c r="M36" s="43">
        <f t="shared" si="14"/>
        <v>85754.462733578708</v>
      </c>
      <c r="N36" s="43">
        <f t="shared" si="14"/>
        <v>74529.833265785433</v>
      </c>
      <c r="O36" s="56">
        <f t="shared" ref="O36:Q36" ca="1" si="33">O15*(1-O56)</f>
        <v>62013.641734840261</v>
      </c>
      <c r="P36" s="56">
        <f t="shared" ca="1" si="33"/>
        <v>49380.03796971964</v>
      </c>
      <c r="Q36" s="57">
        <f t="shared" ca="1" si="33"/>
        <v>36785.195971268404</v>
      </c>
      <c r="S36" s="43"/>
      <c r="T36" s="43"/>
      <c r="U36" s="43"/>
      <c r="V36" s="43"/>
      <c r="W36" s="43"/>
      <c r="X36" s="43"/>
    </row>
    <row r="37" spans="3:24" ht="15.5" x14ac:dyDescent="0.35">
      <c r="C37" s="24" t="s">
        <v>10</v>
      </c>
      <c r="D37" s="42">
        <f t="shared" si="13"/>
        <v>22769.060554</v>
      </c>
      <c r="E37" s="43">
        <f t="shared" si="13"/>
        <v>22878.98091204615</v>
      </c>
      <c r="F37" s="43">
        <f t="shared" si="13"/>
        <v>22988.901270092309</v>
      </c>
      <c r="G37" s="43">
        <f t="shared" ref="G37:H37" si="34">G16</f>
        <v>23098.821628138459</v>
      </c>
      <c r="H37" s="43">
        <f t="shared" si="34"/>
        <v>23208.741986184614</v>
      </c>
      <c r="I37" s="43">
        <f t="shared" si="14"/>
        <v>23318.662344230768</v>
      </c>
      <c r="J37" s="43">
        <f t="shared" si="14"/>
        <v>23599.522292794118</v>
      </c>
      <c r="K37" s="43">
        <f t="shared" si="14"/>
        <v>21547.686614922583</v>
      </c>
      <c r="L37" s="43">
        <f t="shared" si="14"/>
        <v>18902.293554682354</v>
      </c>
      <c r="M37" s="43">
        <f t="shared" si="14"/>
        <v>16402.379864645398</v>
      </c>
      <c r="N37" s="43">
        <f t="shared" si="14"/>
        <v>13972.018294106023</v>
      </c>
      <c r="O37" s="56">
        <f t="shared" ref="O37:Q37" ca="1" si="35">O16*(1-O57)</f>
        <v>11343.911820804928</v>
      </c>
      <c r="P37" s="56">
        <f t="shared" ca="1" si="35"/>
        <v>8813.5958566752015</v>
      </c>
      <c r="Q37" s="57">
        <f t="shared" ca="1" si="35"/>
        <v>6405.9031410886128</v>
      </c>
      <c r="S37" s="43"/>
      <c r="T37" s="43"/>
      <c r="U37" s="43"/>
      <c r="V37" s="43"/>
      <c r="W37" s="43"/>
      <c r="X37" s="43"/>
    </row>
    <row r="38" spans="3:24" ht="15.5" x14ac:dyDescent="0.35">
      <c r="C38" s="24" t="s">
        <v>11</v>
      </c>
      <c r="D38" s="42">
        <f t="shared" si="13"/>
        <v>392663.75485000003</v>
      </c>
      <c r="E38" s="43">
        <f t="shared" si="13"/>
        <v>404878.27477164147</v>
      </c>
      <c r="F38" s="43">
        <f t="shared" si="13"/>
        <v>417092.79469328292</v>
      </c>
      <c r="G38" s="43">
        <f t="shared" ref="G38:H38" si="36">G17</f>
        <v>429307.31461492449</v>
      </c>
      <c r="H38" s="43">
        <f t="shared" si="36"/>
        <v>441521.83453656588</v>
      </c>
      <c r="I38" s="43">
        <f t="shared" si="14"/>
        <v>453736.35445820738</v>
      </c>
      <c r="J38" s="43">
        <f t="shared" si="14"/>
        <v>499953.07756356627</v>
      </c>
      <c r="K38" s="43">
        <f t="shared" si="14"/>
        <v>484579.68223252374</v>
      </c>
      <c r="L38" s="43">
        <f t="shared" si="14"/>
        <v>458680.24559047399</v>
      </c>
      <c r="M38" s="43">
        <f t="shared" si="14"/>
        <v>422780.08451021736</v>
      </c>
      <c r="N38" s="43">
        <f t="shared" si="14"/>
        <v>381070.65614454332</v>
      </c>
      <c r="O38" s="56">
        <f t="shared" ref="O38:Q38" ca="1" si="37">O17*(1-O58)</f>
        <v>328283.12099484471</v>
      </c>
      <c r="P38" s="56">
        <f t="shared" ca="1" si="37"/>
        <v>270653.7832800835</v>
      </c>
      <c r="Q38" s="57">
        <f t="shared" ca="1" si="37"/>
        <v>208762.13317104877</v>
      </c>
      <c r="S38" s="43"/>
      <c r="T38" s="43"/>
      <c r="U38" s="43"/>
      <c r="V38" s="43"/>
      <c r="W38" s="43"/>
      <c r="X38" s="43"/>
    </row>
    <row r="39" spans="3:24" ht="15.5" x14ac:dyDescent="0.35">
      <c r="C39" s="24" t="s">
        <v>12</v>
      </c>
      <c r="D39" s="42">
        <f t="shared" si="13"/>
        <v>135772.67147</v>
      </c>
      <c r="E39" s="43">
        <f t="shared" si="13"/>
        <v>139896.8771195157</v>
      </c>
      <c r="F39" s="43">
        <f t="shared" si="13"/>
        <v>144021.0827690314</v>
      </c>
      <c r="G39" s="43">
        <f t="shared" ref="G39:H39" si="38">G18</f>
        <v>148145.28841854708</v>
      </c>
      <c r="H39" s="43">
        <f t="shared" si="38"/>
        <v>152269.49406806278</v>
      </c>
      <c r="I39" s="43">
        <f t="shared" si="14"/>
        <v>156393.69971757845</v>
      </c>
      <c r="J39" s="43">
        <f t="shared" si="14"/>
        <v>171541.94279207016</v>
      </c>
      <c r="K39" s="43">
        <f t="shared" si="14"/>
        <v>165600.59466741886</v>
      </c>
      <c r="L39" s="43">
        <f t="shared" si="14"/>
        <v>155901.37362511945</v>
      </c>
      <c r="M39" s="43">
        <f t="shared" si="14"/>
        <v>143075.44098608871</v>
      </c>
      <c r="N39" s="43">
        <f t="shared" si="14"/>
        <v>128416.11805799321</v>
      </c>
      <c r="O39" s="56">
        <f t="shared" ref="O39:Q39" ca="1" si="39">O18*(1-O59)</f>
        <v>110101.66629563538</v>
      </c>
      <c r="P39" s="56">
        <f t="shared" ca="1" si="39"/>
        <v>90338.297136198467</v>
      </c>
      <c r="Q39" s="57">
        <f t="shared" ca="1" si="39"/>
        <v>69343.570151274689</v>
      </c>
      <c r="S39" s="43"/>
      <c r="T39" s="43"/>
      <c r="U39" s="43"/>
      <c r="V39" s="43"/>
      <c r="W39" s="43"/>
      <c r="X39" s="43"/>
    </row>
    <row r="40" spans="3:24" ht="16" thickBot="1" x14ac:dyDescent="0.4">
      <c r="C40" s="25" t="s">
        <v>13</v>
      </c>
      <c r="D40" s="45">
        <f t="shared" si="13"/>
        <v>68647.598836000005</v>
      </c>
      <c r="E40" s="46">
        <f t="shared" si="13"/>
        <v>69606.694991017896</v>
      </c>
      <c r="F40" s="46">
        <f t="shared" si="13"/>
        <v>70565.791146035772</v>
      </c>
      <c r="G40" s="46">
        <f t="shared" ref="G40:H40" si="40">G19</f>
        <v>71524.887301053663</v>
      </c>
      <c r="H40" s="46">
        <f t="shared" si="40"/>
        <v>72483.983456071554</v>
      </c>
      <c r="I40" s="46">
        <f t="shared" si="14"/>
        <v>73443.07961108943</v>
      </c>
      <c r="J40" s="46">
        <f t="shared" si="14"/>
        <v>75764.962206199198</v>
      </c>
      <c r="K40" s="46">
        <f t="shared" si="14"/>
        <v>69826.916119487301</v>
      </c>
      <c r="L40" s="46">
        <f t="shared" si="14"/>
        <v>63160.865707837409</v>
      </c>
      <c r="M40" s="46">
        <f t="shared" si="14"/>
        <v>55652.998297142854</v>
      </c>
      <c r="N40" s="46">
        <f t="shared" si="14"/>
        <v>47995.430626636364</v>
      </c>
      <c r="O40" s="59">
        <f t="shared" ref="O40:Q40" ca="1" si="41">O19*(1-O60)</f>
        <v>39460.419206008628</v>
      </c>
      <c r="P40" s="59">
        <f t="shared" ca="1" si="41"/>
        <v>31046.317217724365</v>
      </c>
      <c r="Q40" s="60">
        <f t="shared" ca="1" si="41"/>
        <v>22850.485492692082</v>
      </c>
      <c r="S40" s="43"/>
      <c r="T40" s="43"/>
      <c r="U40" s="43"/>
      <c r="V40" s="43"/>
      <c r="W40" s="43"/>
      <c r="X40" s="43"/>
    </row>
    <row r="41" spans="3:24" ht="19.5" customHeight="1" thickTop="1" thickBot="1" x14ac:dyDescent="0.4">
      <c r="C41" s="20" t="s">
        <v>24</v>
      </c>
      <c r="D41" s="48">
        <f t="shared" ref="D41:N41" si="42">SUM(D27:D40)</f>
        <v>2769927.1883470002</v>
      </c>
      <c r="E41" s="48">
        <f t="shared" si="42"/>
        <v>2839364.0846109018</v>
      </c>
      <c r="F41" s="48">
        <f t="shared" si="42"/>
        <v>2908800.9808748043</v>
      </c>
      <c r="G41" s="48">
        <f t="shared" si="42"/>
        <v>2978237.8771387069</v>
      </c>
      <c r="H41" s="48">
        <f t="shared" si="42"/>
        <v>3047674.7734026085</v>
      </c>
      <c r="I41" s="48">
        <f t="shared" si="42"/>
        <v>3117111.6696665105</v>
      </c>
      <c r="J41" s="48">
        <f t="shared" si="42"/>
        <v>3381147.8367554462</v>
      </c>
      <c r="K41" s="48">
        <f t="shared" si="42"/>
        <v>3236314.4068969674</v>
      </c>
      <c r="L41" s="48">
        <f t="shared" si="42"/>
        <v>3029471.9257221189</v>
      </c>
      <c r="M41" s="48">
        <f t="shared" si="42"/>
        <v>2764125.2439677315</v>
      </c>
      <c r="N41" s="48">
        <f t="shared" si="42"/>
        <v>2468204.9847600274</v>
      </c>
      <c r="O41" s="62">
        <f t="shared" ref="O41:Q41" ca="1" si="43">SUM(O27:O40)</f>
        <v>2104190.4704258936</v>
      </c>
      <c r="P41" s="62">
        <f t="shared" ca="1" si="43"/>
        <v>1717186.8438186739</v>
      </c>
      <c r="Q41" s="63">
        <f t="shared" ca="1" si="43"/>
        <v>1311378.2509649121</v>
      </c>
      <c r="S41" s="43"/>
      <c r="T41" s="43"/>
      <c r="U41" s="43"/>
      <c r="V41" s="43"/>
      <c r="W41" s="43"/>
      <c r="X41" s="43"/>
    </row>
    <row r="42" spans="3:24" ht="13" thickTop="1" x14ac:dyDescent="0.25">
      <c r="O42" s="53"/>
      <c r="P42" s="53"/>
      <c r="Q42" s="53"/>
    </row>
    <row r="43" spans="3:24" ht="13" thickBot="1" x14ac:dyDescent="0.3"/>
    <row r="44" spans="3:24" ht="16" thickTop="1" x14ac:dyDescent="0.35">
      <c r="C44" s="32" t="s">
        <v>134</v>
      </c>
      <c r="D44" s="34"/>
      <c r="E44" s="33"/>
      <c r="F44" s="33"/>
      <c r="G44" s="33"/>
      <c r="H44" s="33"/>
      <c r="I44" s="34"/>
      <c r="J44" s="34"/>
      <c r="K44" s="34"/>
      <c r="L44" s="34"/>
      <c r="M44" s="34"/>
      <c r="N44" s="34"/>
      <c r="O44" s="34"/>
      <c r="P44" s="34"/>
      <c r="Q44" s="35"/>
    </row>
    <row r="45" spans="3:24" ht="13.5" thickBot="1" x14ac:dyDescent="0.35">
      <c r="C45" s="18"/>
      <c r="D45" s="65" t="s">
        <v>25</v>
      </c>
      <c r="E45" s="65" t="s">
        <v>37</v>
      </c>
      <c r="F45" s="65" t="s">
        <v>38</v>
      </c>
      <c r="G45" s="37" t="s">
        <v>177</v>
      </c>
      <c r="H45" s="37" t="s">
        <v>178</v>
      </c>
      <c r="I45" s="65" t="s">
        <v>26</v>
      </c>
      <c r="J45" s="65" t="s">
        <v>27</v>
      </c>
      <c r="K45" s="65" t="s">
        <v>28</v>
      </c>
      <c r="L45" s="65" t="s">
        <v>29</v>
      </c>
      <c r="M45" s="65" t="s">
        <v>30</v>
      </c>
      <c r="N45" s="65" t="s">
        <v>31</v>
      </c>
      <c r="O45" s="37" t="s">
        <v>174</v>
      </c>
      <c r="P45" s="37" t="s">
        <v>175</v>
      </c>
      <c r="Q45" s="38" t="s">
        <v>176</v>
      </c>
    </row>
    <row r="46" spans="3:24" ht="14" thickTop="1" thickBot="1" x14ac:dyDescent="0.35">
      <c r="C46" s="70"/>
      <c r="D46" s="71" t="s">
        <v>39</v>
      </c>
      <c r="E46" s="71" t="s">
        <v>39</v>
      </c>
      <c r="F46" s="71" t="s">
        <v>39</v>
      </c>
      <c r="G46" s="65" t="s">
        <v>39</v>
      </c>
      <c r="H46" s="65" t="s">
        <v>39</v>
      </c>
      <c r="I46" s="71" t="s">
        <v>39</v>
      </c>
      <c r="J46" s="71" t="s">
        <v>32</v>
      </c>
      <c r="K46" s="71" t="s">
        <v>32</v>
      </c>
      <c r="L46" s="71" t="s">
        <v>32</v>
      </c>
      <c r="M46" s="71" t="s">
        <v>32</v>
      </c>
      <c r="N46" s="71" t="s">
        <v>32</v>
      </c>
      <c r="O46" s="65" t="s">
        <v>32</v>
      </c>
      <c r="P46" s="65" t="s">
        <v>32</v>
      </c>
      <c r="Q46" s="66" t="s">
        <v>32</v>
      </c>
    </row>
    <row r="47" spans="3:24" ht="16" thickTop="1" x14ac:dyDescent="0.35">
      <c r="C47" s="24" t="s">
        <v>0</v>
      </c>
      <c r="D47" s="67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178">
        <f>'[10]Other Assumptions'!J6</f>
        <v>0</v>
      </c>
      <c r="K47" s="178">
        <f>'[10]Other Assumptions'!K6</f>
        <v>0.1</v>
      </c>
      <c r="L47" s="178">
        <f>'[10]Other Assumptions'!L6</f>
        <v>0.2</v>
      </c>
      <c r="M47" s="178">
        <f>'[10]Other Assumptions'!M6</f>
        <v>0.3</v>
      </c>
      <c r="N47" s="178">
        <f>'[10]Other Assumptions'!N6</f>
        <v>0.4</v>
      </c>
      <c r="O47" s="68">
        <f>'[10]Other Assumptions'!O6</f>
        <v>0.5</v>
      </c>
      <c r="P47" s="68">
        <f>'[10]Other Assumptions'!P6</f>
        <v>0.6</v>
      </c>
      <c r="Q47" s="69">
        <f>'[10]Other Assumptions'!Q6</f>
        <v>0.7</v>
      </c>
    </row>
    <row r="48" spans="3:24" ht="15.5" x14ac:dyDescent="0.35">
      <c r="C48" s="24" t="s">
        <v>1</v>
      </c>
      <c r="D48" s="149">
        <v>0</v>
      </c>
      <c r="E48" s="150">
        <v>0</v>
      </c>
      <c r="F48" s="150">
        <v>0</v>
      </c>
      <c r="G48" s="150">
        <v>0</v>
      </c>
      <c r="H48" s="150">
        <v>0</v>
      </c>
      <c r="I48" s="150">
        <v>0</v>
      </c>
      <c r="J48" s="169">
        <f>'[10]Other Assumptions'!J7</f>
        <v>0</v>
      </c>
      <c r="K48" s="169">
        <f>'[10]Other Assumptions'!K7</f>
        <v>0.1</v>
      </c>
      <c r="L48" s="169">
        <f>'[10]Other Assumptions'!L7</f>
        <v>0.2</v>
      </c>
      <c r="M48" s="169">
        <f>'[10]Other Assumptions'!M7</f>
        <v>0.3</v>
      </c>
      <c r="N48" s="169">
        <f>'[10]Other Assumptions'!N7</f>
        <v>0.4</v>
      </c>
      <c r="O48" s="150">
        <f>'[10]Other Assumptions'!O7</f>
        <v>0.5</v>
      </c>
      <c r="P48" s="150">
        <f>'[10]Other Assumptions'!P7</f>
        <v>0.6</v>
      </c>
      <c r="Q48" s="192">
        <f>'[10]Other Assumptions'!Q7</f>
        <v>0.7</v>
      </c>
    </row>
    <row r="49" spans="3:17" ht="15.5" x14ac:dyDescent="0.35">
      <c r="C49" s="24" t="s">
        <v>2</v>
      </c>
      <c r="D49" s="149">
        <v>0</v>
      </c>
      <c r="E49" s="150">
        <v>0</v>
      </c>
      <c r="F49" s="150">
        <v>0</v>
      </c>
      <c r="G49" s="150">
        <v>0</v>
      </c>
      <c r="H49" s="150">
        <v>0</v>
      </c>
      <c r="I49" s="150">
        <v>0</v>
      </c>
      <c r="J49" s="169">
        <f>'[10]Other Assumptions'!J8</f>
        <v>0</v>
      </c>
      <c r="K49" s="169">
        <f>'[10]Other Assumptions'!K8</f>
        <v>0.1</v>
      </c>
      <c r="L49" s="169">
        <f>'[10]Other Assumptions'!L8</f>
        <v>0.2</v>
      </c>
      <c r="M49" s="169">
        <f>'[10]Other Assumptions'!M8</f>
        <v>0.3</v>
      </c>
      <c r="N49" s="169">
        <f>'[10]Other Assumptions'!N8</f>
        <v>0.4</v>
      </c>
      <c r="O49" s="150">
        <f>'[10]Other Assumptions'!O8</f>
        <v>0.5</v>
      </c>
      <c r="P49" s="150">
        <f>'[10]Other Assumptions'!P8</f>
        <v>0.6</v>
      </c>
      <c r="Q49" s="192">
        <f>'[10]Other Assumptions'!Q8</f>
        <v>0.7</v>
      </c>
    </row>
    <row r="50" spans="3:17" ht="15.5" x14ac:dyDescent="0.35">
      <c r="C50" s="24" t="s">
        <v>3</v>
      </c>
      <c r="D50" s="149">
        <v>0</v>
      </c>
      <c r="E50" s="150">
        <v>0</v>
      </c>
      <c r="F50" s="150">
        <v>0</v>
      </c>
      <c r="G50" s="150">
        <v>0</v>
      </c>
      <c r="H50" s="150">
        <v>0</v>
      </c>
      <c r="I50" s="150">
        <v>0</v>
      </c>
      <c r="J50" s="169">
        <f>'[10]Other Assumptions'!J9</f>
        <v>0</v>
      </c>
      <c r="K50" s="169">
        <f>'[10]Other Assumptions'!K9</f>
        <v>0.1</v>
      </c>
      <c r="L50" s="169">
        <f>'[10]Other Assumptions'!L9</f>
        <v>0.2</v>
      </c>
      <c r="M50" s="169">
        <f>'[10]Other Assumptions'!M9</f>
        <v>0.3</v>
      </c>
      <c r="N50" s="169">
        <f>'[10]Other Assumptions'!N9</f>
        <v>0.4</v>
      </c>
      <c r="O50" s="150">
        <f>'[10]Other Assumptions'!O9</f>
        <v>0.5</v>
      </c>
      <c r="P50" s="150">
        <f>'[10]Other Assumptions'!P9</f>
        <v>0.6</v>
      </c>
      <c r="Q50" s="192">
        <f>'[10]Other Assumptions'!Q9</f>
        <v>0.7</v>
      </c>
    </row>
    <row r="51" spans="3:17" ht="15.5" x14ac:dyDescent="0.35">
      <c r="C51" s="24" t="s">
        <v>4</v>
      </c>
      <c r="D51" s="149">
        <v>0</v>
      </c>
      <c r="E51" s="150">
        <v>0</v>
      </c>
      <c r="F51" s="150">
        <v>0</v>
      </c>
      <c r="G51" s="150">
        <v>0</v>
      </c>
      <c r="H51" s="150">
        <v>0</v>
      </c>
      <c r="I51" s="150">
        <v>0</v>
      </c>
      <c r="J51" s="169">
        <f>'[10]Other Assumptions'!J10</f>
        <v>0</v>
      </c>
      <c r="K51" s="169">
        <f>'[10]Other Assumptions'!K10</f>
        <v>0.1</v>
      </c>
      <c r="L51" s="169">
        <f>'[10]Other Assumptions'!L10</f>
        <v>0.2</v>
      </c>
      <c r="M51" s="169">
        <f>'[10]Other Assumptions'!M10</f>
        <v>0.3</v>
      </c>
      <c r="N51" s="169">
        <f>'[10]Other Assumptions'!N10</f>
        <v>0.4</v>
      </c>
      <c r="O51" s="150">
        <f>'[10]Other Assumptions'!O10</f>
        <v>0.5</v>
      </c>
      <c r="P51" s="150">
        <f>'[10]Other Assumptions'!P10</f>
        <v>0.6</v>
      </c>
      <c r="Q51" s="192">
        <f>'[10]Other Assumptions'!Q10</f>
        <v>0.7</v>
      </c>
    </row>
    <row r="52" spans="3:17" ht="15.5" x14ac:dyDescent="0.35">
      <c r="C52" s="24" t="s">
        <v>5</v>
      </c>
      <c r="D52" s="149">
        <v>0</v>
      </c>
      <c r="E52" s="150">
        <v>0</v>
      </c>
      <c r="F52" s="150">
        <v>0</v>
      </c>
      <c r="G52" s="150">
        <v>0</v>
      </c>
      <c r="H52" s="150">
        <v>0</v>
      </c>
      <c r="I52" s="150">
        <v>0</v>
      </c>
      <c r="J52" s="169">
        <f>'[10]Other Assumptions'!J11</f>
        <v>0</v>
      </c>
      <c r="K52" s="169">
        <f>'[10]Other Assumptions'!K11</f>
        <v>0.1</v>
      </c>
      <c r="L52" s="169">
        <f>'[10]Other Assumptions'!L11</f>
        <v>0.2</v>
      </c>
      <c r="M52" s="169">
        <f>'[10]Other Assumptions'!M11</f>
        <v>0.3</v>
      </c>
      <c r="N52" s="169">
        <f>'[10]Other Assumptions'!N11</f>
        <v>0.4</v>
      </c>
      <c r="O52" s="150">
        <f>'[10]Other Assumptions'!O11</f>
        <v>0.5</v>
      </c>
      <c r="P52" s="150">
        <f>'[10]Other Assumptions'!P11</f>
        <v>0.6</v>
      </c>
      <c r="Q52" s="192">
        <f>'[10]Other Assumptions'!Q11</f>
        <v>0.7</v>
      </c>
    </row>
    <row r="53" spans="3:17" ht="15.5" x14ac:dyDescent="0.35">
      <c r="C53" s="24" t="s">
        <v>6</v>
      </c>
      <c r="D53" s="149">
        <v>0</v>
      </c>
      <c r="E53" s="150">
        <v>0</v>
      </c>
      <c r="F53" s="150">
        <v>0</v>
      </c>
      <c r="G53" s="150">
        <v>0</v>
      </c>
      <c r="H53" s="150">
        <v>0</v>
      </c>
      <c r="I53" s="150">
        <v>0</v>
      </c>
      <c r="J53" s="169">
        <f>'[10]Other Assumptions'!J12</f>
        <v>0</v>
      </c>
      <c r="K53" s="169">
        <f>'[10]Other Assumptions'!K12</f>
        <v>0.1</v>
      </c>
      <c r="L53" s="169">
        <f>'[10]Other Assumptions'!L12</f>
        <v>0.2</v>
      </c>
      <c r="M53" s="169">
        <f>'[10]Other Assumptions'!M12</f>
        <v>0.3</v>
      </c>
      <c r="N53" s="169">
        <f>'[10]Other Assumptions'!N12</f>
        <v>0.4</v>
      </c>
      <c r="O53" s="150">
        <f>'[10]Other Assumptions'!O12</f>
        <v>0.5</v>
      </c>
      <c r="P53" s="150">
        <f>'[10]Other Assumptions'!P12</f>
        <v>0.6</v>
      </c>
      <c r="Q53" s="192">
        <f>'[10]Other Assumptions'!Q12</f>
        <v>0.7</v>
      </c>
    </row>
    <row r="54" spans="3:17" ht="15.5" x14ac:dyDescent="0.35">
      <c r="C54" s="24" t="s">
        <v>7</v>
      </c>
      <c r="D54" s="149">
        <v>0</v>
      </c>
      <c r="E54" s="150">
        <v>0</v>
      </c>
      <c r="F54" s="150">
        <v>0</v>
      </c>
      <c r="G54" s="150">
        <v>0</v>
      </c>
      <c r="H54" s="150">
        <v>0</v>
      </c>
      <c r="I54" s="150">
        <v>0</v>
      </c>
      <c r="J54" s="169">
        <f>'[10]Other Assumptions'!J13</f>
        <v>0</v>
      </c>
      <c r="K54" s="169">
        <f>'[10]Other Assumptions'!K13</f>
        <v>0.1</v>
      </c>
      <c r="L54" s="169">
        <f>'[10]Other Assumptions'!L13</f>
        <v>0.2</v>
      </c>
      <c r="M54" s="169">
        <f>'[10]Other Assumptions'!M13</f>
        <v>0.3</v>
      </c>
      <c r="N54" s="169">
        <f>'[10]Other Assumptions'!N13</f>
        <v>0.4</v>
      </c>
      <c r="O54" s="150">
        <f>'[10]Other Assumptions'!O13</f>
        <v>0.5</v>
      </c>
      <c r="P54" s="150">
        <f>'[10]Other Assumptions'!P13</f>
        <v>0.6</v>
      </c>
      <c r="Q54" s="192">
        <f>'[10]Other Assumptions'!Q13</f>
        <v>0.7</v>
      </c>
    </row>
    <row r="55" spans="3:17" ht="15.5" x14ac:dyDescent="0.35">
      <c r="C55" s="24" t="s">
        <v>8</v>
      </c>
      <c r="D55" s="149">
        <v>0</v>
      </c>
      <c r="E55" s="150">
        <v>0</v>
      </c>
      <c r="F55" s="150">
        <v>0</v>
      </c>
      <c r="G55" s="150">
        <v>0</v>
      </c>
      <c r="H55" s="150">
        <v>0</v>
      </c>
      <c r="I55" s="150">
        <v>0</v>
      </c>
      <c r="J55" s="169">
        <f>'[10]Other Assumptions'!J14</f>
        <v>0</v>
      </c>
      <c r="K55" s="169">
        <f>'[10]Other Assumptions'!K14</f>
        <v>0.1</v>
      </c>
      <c r="L55" s="169">
        <f>'[10]Other Assumptions'!L14</f>
        <v>0.2</v>
      </c>
      <c r="M55" s="169">
        <f>'[10]Other Assumptions'!M14</f>
        <v>0.3</v>
      </c>
      <c r="N55" s="169">
        <f>'[10]Other Assumptions'!N14</f>
        <v>0.4</v>
      </c>
      <c r="O55" s="150">
        <f>'[10]Other Assumptions'!O14</f>
        <v>0.5</v>
      </c>
      <c r="P55" s="150">
        <f>'[10]Other Assumptions'!P14</f>
        <v>0.6</v>
      </c>
      <c r="Q55" s="192">
        <f>'[10]Other Assumptions'!Q14</f>
        <v>0.7</v>
      </c>
    </row>
    <row r="56" spans="3:17" ht="15.5" x14ac:dyDescent="0.35">
      <c r="C56" s="24" t="s">
        <v>9</v>
      </c>
      <c r="D56" s="149">
        <v>0</v>
      </c>
      <c r="E56" s="150">
        <v>0</v>
      </c>
      <c r="F56" s="150">
        <v>0</v>
      </c>
      <c r="G56" s="150">
        <v>0</v>
      </c>
      <c r="H56" s="150">
        <v>0</v>
      </c>
      <c r="I56" s="150">
        <v>0</v>
      </c>
      <c r="J56" s="169">
        <f>'[10]Other Assumptions'!J15</f>
        <v>0</v>
      </c>
      <c r="K56" s="169">
        <f>'[10]Other Assumptions'!K15</f>
        <v>0.1</v>
      </c>
      <c r="L56" s="169">
        <f>'[10]Other Assumptions'!L15</f>
        <v>0.2</v>
      </c>
      <c r="M56" s="169">
        <f>'[10]Other Assumptions'!M15</f>
        <v>0.3</v>
      </c>
      <c r="N56" s="169">
        <f>'[10]Other Assumptions'!N15</f>
        <v>0.4</v>
      </c>
      <c r="O56" s="150">
        <f>'[10]Other Assumptions'!O15</f>
        <v>0.5</v>
      </c>
      <c r="P56" s="150">
        <f>'[10]Other Assumptions'!P15</f>
        <v>0.6</v>
      </c>
      <c r="Q56" s="192">
        <f>'[10]Other Assumptions'!Q15</f>
        <v>0.7</v>
      </c>
    </row>
    <row r="57" spans="3:17" ht="15.5" x14ac:dyDescent="0.35">
      <c r="C57" s="24" t="s">
        <v>10</v>
      </c>
      <c r="D57" s="149">
        <v>0</v>
      </c>
      <c r="E57" s="150">
        <v>0</v>
      </c>
      <c r="F57" s="150">
        <v>0</v>
      </c>
      <c r="G57" s="150">
        <v>0</v>
      </c>
      <c r="H57" s="150">
        <v>0</v>
      </c>
      <c r="I57" s="150">
        <v>0</v>
      </c>
      <c r="J57" s="169">
        <f>'[10]Other Assumptions'!J16</f>
        <v>0</v>
      </c>
      <c r="K57" s="169">
        <f>'[10]Other Assumptions'!K16</f>
        <v>0.1</v>
      </c>
      <c r="L57" s="169">
        <f>'[10]Other Assumptions'!L16</f>
        <v>0.2</v>
      </c>
      <c r="M57" s="169">
        <f>'[10]Other Assumptions'!M16</f>
        <v>0.3</v>
      </c>
      <c r="N57" s="169">
        <f>'[10]Other Assumptions'!N16</f>
        <v>0.4</v>
      </c>
      <c r="O57" s="150">
        <f>'[10]Other Assumptions'!O16</f>
        <v>0.5</v>
      </c>
      <c r="P57" s="150">
        <f>'[10]Other Assumptions'!P16</f>
        <v>0.6</v>
      </c>
      <c r="Q57" s="192">
        <f>'[10]Other Assumptions'!Q16</f>
        <v>0.7</v>
      </c>
    </row>
    <row r="58" spans="3:17" ht="15.5" x14ac:dyDescent="0.35">
      <c r="C58" s="24" t="s">
        <v>11</v>
      </c>
      <c r="D58" s="149">
        <v>0</v>
      </c>
      <c r="E58" s="150">
        <v>0</v>
      </c>
      <c r="F58" s="150">
        <v>0</v>
      </c>
      <c r="G58" s="150">
        <v>0</v>
      </c>
      <c r="H58" s="150">
        <v>0</v>
      </c>
      <c r="I58" s="150">
        <v>0</v>
      </c>
      <c r="J58" s="169">
        <f>'[10]Other Assumptions'!J17</f>
        <v>0</v>
      </c>
      <c r="K58" s="169">
        <f>'[10]Other Assumptions'!K17</f>
        <v>0.1</v>
      </c>
      <c r="L58" s="169">
        <f>'[10]Other Assumptions'!L17</f>
        <v>0.2</v>
      </c>
      <c r="M58" s="169">
        <f>'[10]Other Assumptions'!M17</f>
        <v>0.3</v>
      </c>
      <c r="N58" s="169">
        <f>'[10]Other Assumptions'!N17</f>
        <v>0.4</v>
      </c>
      <c r="O58" s="150">
        <f>'[10]Other Assumptions'!O17</f>
        <v>0.5</v>
      </c>
      <c r="P58" s="150">
        <f>'[10]Other Assumptions'!P17</f>
        <v>0.6</v>
      </c>
      <c r="Q58" s="192">
        <f>'[10]Other Assumptions'!Q17</f>
        <v>0.7</v>
      </c>
    </row>
    <row r="59" spans="3:17" ht="15.5" x14ac:dyDescent="0.35">
      <c r="C59" s="24" t="s">
        <v>12</v>
      </c>
      <c r="D59" s="149">
        <v>0</v>
      </c>
      <c r="E59" s="150">
        <v>0</v>
      </c>
      <c r="F59" s="150">
        <v>0</v>
      </c>
      <c r="G59" s="150">
        <v>0</v>
      </c>
      <c r="H59" s="150">
        <v>0</v>
      </c>
      <c r="I59" s="150">
        <v>0</v>
      </c>
      <c r="J59" s="169">
        <f>'[10]Other Assumptions'!J18</f>
        <v>0</v>
      </c>
      <c r="K59" s="169">
        <f>'[10]Other Assumptions'!K18</f>
        <v>0.1</v>
      </c>
      <c r="L59" s="169">
        <f>'[10]Other Assumptions'!L18</f>
        <v>0.2</v>
      </c>
      <c r="M59" s="169">
        <f>'[10]Other Assumptions'!M18</f>
        <v>0.3</v>
      </c>
      <c r="N59" s="169">
        <f>'[10]Other Assumptions'!N18</f>
        <v>0.4</v>
      </c>
      <c r="O59" s="150">
        <f>'[10]Other Assumptions'!O18</f>
        <v>0.5</v>
      </c>
      <c r="P59" s="150">
        <f>'[10]Other Assumptions'!P18</f>
        <v>0.6</v>
      </c>
      <c r="Q59" s="192">
        <f>'[10]Other Assumptions'!Q18</f>
        <v>0.7</v>
      </c>
    </row>
    <row r="60" spans="3:17" ht="16" thickBot="1" x14ac:dyDescent="0.4">
      <c r="C60" s="25" t="s">
        <v>13</v>
      </c>
      <c r="D60" s="151">
        <v>0</v>
      </c>
      <c r="E60" s="152">
        <v>0</v>
      </c>
      <c r="F60" s="152">
        <v>0</v>
      </c>
      <c r="G60" s="152">
        <v>0</v>
      </c>
      <c r="H60" s="152">
        <v>0</v>
      </c>
      <c r="I60" s="152">
        <v>0</v>
      </c>
      <c r="J60" s="179">
        <f>'[10]Other Assumptions'!J19</f>
        <v>0</v>
      </c>
      <c r="K60" s="179">
        <f>'[10]Other Assumptions'!K19</f>
        <v>0.1</v>
      </c>
      <c r="L60" s="179">
        <f>'[10]Other Assumptions'!L19</f>
        <v>0.2</v>
      </c>
      <c r="M60" s="179">
        <f>'[10]Other Assumptions'!M19</f>
        <v>0.3</v>
      </c>
      <c r="N60" s="179">
        <f>'[10]Other Assumptions'!N19</f>
        <v>0.4</v>
      </c>
      <c r="O60" s="152">
        <f>'[10]Other Assumptions'!O19</f>
        <v>0.5</v>
      </c>
      <c r="P60" s="152">
        <f>'[10]Other Assumptions'!P19</f>
        <v>0.6</v>
      </c>
      <c r="Q60" s="193">
        <f>'[10]Other Assumptions'!Q19</f>
        <v>0.7</v>
      </c>
    </row>
    <row r="61" spans="3:17" ht="13" thickTop="1" x14ac:dyDescent="0.25"/>
    <row r="62" spans="3:17" ht="13" thickBot="1" x14ac:dyDescent="0.3"/>
    <row r="63" spans="3:17" ht="16" thickTop="1" x14ac:dyDescent="0.35">
      <c r="C63" s="32" t="s">
        <v>136</v>
      </c>
      <c r="D63" s="34"/>
      <c r="E63" s="33"/>
      <c r="F63" s="33"/>
      <c r="G63" s="33"/>
      <c r="H63" s="33"/>
      <c r="I63" s="34"/>
      <c r="J63" s="34"/>
      <c r="K63" s="34"/>
      <c r="L63" s="34"/>
      <c r="M63" s="34"/>
      <c r="N63" s="53"/>
      <c r="O63" s="34"/>
      <c r="P63" s="34"/>
      <c r="Q63" s="35"/>
    </row>
    <row r="64" spans="3:17" ht="13.5" thickBot="1" x14ac:dyDescent="0.35">
      <c r="C64" s="18"/>
      <c r="D64" s="65" t="s">
        <v>25</v>
      </c>
      <c r="E64" s="65" t="s">
        <v>37</v>
      </c>
      <c r="F64" s="65" t="s">
        <v>38</v>
      </c>
      <c r="G64" s="37" t="s">
        <v>177</v>
      </c>
      <c r="H64" s="37" t="s">
        <v>178</v>
      </c>
      <c r="I64" s="65" t="s">
        <v>26</v>
      </c>
      <c r="J64" s="65" t="s">
        <v>27</v>
      </c>
      <c r="K64" s="65" t="s">
        <v>28</v>
      </c>
      <c r="L64" s="65" t="s">
        <v>29</v>
      </c>
      <c r="M64" s="65" t="s">
        <v>30</v>
      </c>
      <c r="N64" s="65" t="s">
        <v>31</v>
      </c>
      <c r="O64" s="37" t="s">
        <v>174</v>
      </c>
      <c r="P64" s="37" t="s">
        <v>175</v>
      </c>
      <c r="Q64" s="38" t="s">
        <v>176</v>
      </c>
    </row>
    <row r="65" spans="3:19" ht="14" thickTop="1" thickBot="1" x14ac:dyDescent="0.35">
      <c r="C65" s="70"/>
      <c r="D65" s="71" t="s">
        <v>39</v>
      </c>
      <c r="E65" s="71" t="s">
        <v>39</v>
      </c>
      <c r="F65" s="71" t="s">
        <v>39</v>
      </c>
      <c r="G65" s="65" t="s">
        <v>39</v>
      </c>
      <c r="H65" s="65" t="s">
        <v>39</v>
      </c>
      <c r="I65" s="71" t="s">
        <v>39</v>
      </c>
      <c r="J65" s="71" t="s">
        <v>32</v>
      </c>
      <c r="K65" s="71" t="s">
        <v>32</v>
      </c>
      <c r="L65" s="71" t="s">
        <v>32</v>
      </c>
      <c r="M65" s="71" t="s">
        <v>32</v>
      </c>
      <c r="N65" s="71" t="s">
        <v>32</v>
      </c>
      <c r="O65" s="65" t="s">
        <v>32</v>
      </c>
      <c r="P65" s="65" t="s">
        <v>32</v>
      </c>
      <c r="Q65" s="66" t="s">
        <v>32</v>
      </c>
    </row>
    <row r="66" spans="3:19" ht="16" thickTop="1" x14ac:dyDescent="0.35">
      <c r="C66" s="24" t="s">
        <v>0</v>
      </c>
      <c r="D66" s="52">
        <f>'Car+SUV'!D7*('[1]12_13 fleet'!$D287/'Original 2012-13 Data'!$C6)/1000000</f>
        <v>141.26262811366777</v>
      </c>
      <c r="E66" s="53">
        <f>'Car+SUV'!E7*('[2]13_14 fleet'!$D289/'Original 2013-14 Data'!$C6)/1000000</f>
        <v>147.36766217047045</v>
      </c>
      <c r="F66" s="53">
        <f>'Car+SUV'!F7*('[3]14_15 fleet'!$D289/'Original 2014-15 Data'!$C6)/1000000</f>
        <v>143.20240717260239</v>
      </c>
      <c r="G66" s="53">
        <f>'Car+SUV'!G7*('[4]15_16 fleet'!$D289/'Original 2015-16 Data'!$C6)/1000000</f>
        <v>137.36004809687591</v>
      </c>
      <c r="H66" s="53">
        <f>'Car+SUV'!H7*('[5]16_17 fleet_v2'!$D289/'Original 2016-17 Data'!$C6)/1000000</f>
        <v>148.84539602487905</v>
      </c>
      <c r="I66" s="53">
        <f>'Car+SUV'!I7*('[6]17_18 fleet_v3'!$D291/'Original 2017-18 Data'!$C6)/1000000</f>
        <v>160.16504361467284</v>
      </c>
      <c r="J66" s="53">
        <f>$I66*'[10]Regional GDP'!J7/'[10]Regional GDP'!$I7</f>
        <v>183.0389720209582</v>
      </c>
      <c r="K66" s="53">
        <f>$I66*'[10]Regional GDP'!K7/'[10]Regional GDP'!$I7</f>
        <v>204.05931992026473</v>
      </c>
      <c r="L66" s="53">
        <f>$I66*'[10]Regional GDP'!L7/'[10]Regional GDP'!$I7</f>
        <v>224.82589584782397</v>
      </c>
      <c r="M66" s="53">
        <f>$I66*'[10]Regional GDP'!M7/'[10]Regional GDP'!$I7</f>
        <v>246.84850920055862</v>
      </c>
      <c r="N66" s="53">
        <f>$I66*'[10]Regional GDP'!N7/'[10]Regional GDP'!$I7</f>
        <v>270.71623594436886</v>
      </c>
      <c r="O66" s="53">
        <f>$I66*'[10]Regional GDP'!O7/'[10]Regional GDP'!$I7</f>
        <v>296.10446109063452</v>
      </c>
      <c r="P66" s="53">
        <f>$I66*'[10]Regional GDP'!P7/'[10]Regional GDP'!$I7</f>
        <v>321.31739921995842</v>
      </c>
      <c r="Q66" s="54">
        <f>$I66*'[10]Regional GDP'!Q7/'[10]Regional GDP'!$I7</f>
        <v>345.30070279198259</v>
      </c>
      <c r="R66" s="172"/>
      <c r="S66" s="172"/>
    </row>
    <row r="67" spans="3:19" ht="15.5" x14ac:dyDescent="0.35">
      <c r="C67" s="24" t="s">
        <v>1</v>
      </c>
      <c r="D67" s="55">
        <f>'Car+SUV'!D8*('[1]12_13 fleet'!$D288/'Original 2012-13 Data'!$C7)/1000000</f>
        <v>1779.3694813204588</v>
      </c>
      <c r="E67" s="56">
        <f>'Car+SUV'!E8*('[2]13_14 fleet'!$D290/'Original 2013-14 Data'!$C7)/1000000</f>
        <v>1805.4590989449773</v>
      </c>
      <c r="F67" s="56">
        <f>'Car+SUV'!F8*('[3]14_15 fleet'!$D290/'Original 2014-15 Data'!$C7)/1000000</f>
        <v>1750.6526443500418</v>
      </c>
      <c r="G67" s="56">
        <f>'Car+SUV'!G8*('[4]15_16 fleet'!$D290/'Original 2015-16 Data'!$C7)/1000000</f>
        <v>1708.7235604575023</v>
      </c>
      <c r="H67" s="56">
        <f>'Car+SUV'!H8*('[5]16_17 fleet_v2'!$D290/'Original 2016-17 Data'!$C7)/1000000</f>
        <v>1971.5374283486256</v>
      </c>
      <c r="I67" s="56">
        <f>'Car+SUV'!I8*('[6]17_18 fleet_v3'!$D292/'Original 2017-18 Data'!$C7)/1000000</f>
        <v>1942.9376425785542</v>
      </c>
      <c r="J67" s="56">
        <f>$I67*'[10]Regional GDP'!J8/'[10]Regional GDP'!$I8</f>
        <v>2267.5998841807441</v>
      </c>
      <c r="K67" s="56">
        <f>$I67*'[10]Regional GDP'!K8/'[10]Regional GDP'!$I8</f>
        <v>2570.1755038075717</v>
      </c>
      <c r="L67" s="56">
        <f>$I67*'[10]Regional GDP'!L8/'[10]Regional GDP'!$I8</f>
        <v>2882.8304078636829</v>
      </c>
      <c r="M67" s="56">
        <f>$I67*'[10]Regional GDP'!M8/'[10]Regional GDP'!$I8</f>
        <v>3222.4791186225571</v>
      </c>
      <c r="N67" s="56">
        <f>$I67*'[10]Regional GDP'!N8/'[10]Regional GDP'!$I8</f>
        <v>3601.4160724708931</v>
      </c>
      <c r="O67" s="56">
        <f>$I67*'[10]Regional GDP'!O8/'[10]Regional GDP'!$I8</f>
        <v>4013.5700474260807</v>
      </c>
      <c r="P67" s="56">
        <f>$I67*'[10]Regional GDP'!P8/'[10]Regional GDP'!$I8</f>
        <v>4436.7938895727839</v>
      </c>
      <c r="Q67" s="57">
        <f>$I67*'[10]Regional GDP'!Q8/'[10]Regional GDP'!$I8</f>
        <v>4856.2229823472871</v>
      </c>
    </row>
    <row r="68" spans="3:19" ht="15.5" x14ac:dyDescent="0.35">
      <c r="C68" s="24" t="s">
        <v>2</v>
      </c>
      <c r="D68" s="55">
        <f>'Car+SUV'!D9*('[1]12_13 fleet'!$D289/'Original 2012-13 Data'!$C8)/1000000</f>
        <v>560.07858504956528</v>
      </c>
      <c r="E68" s="56">
        <f>'Car+SUV'!E9*('[2]13_14 fleet'!$D291/'Original 2013-14 Data'!$C8)/1000000</f>
        <v>547.56847646451286</v>
      </c>
      <c r="F68" s="56">
        <f>'Car+SUV'!F9*('[3]14_15 fleet'!$D291/'Original 2014-15 Data'!$C8)/1000000</f>
        <v>555.21567584297941</v>
      </c>
      <c r="G68" s="56">
        <f>'Car+SUV'!G9*('[4]15_16 fleet'!$D291/'Original 2015-16 Data'!$C8)/1000000</f>
        <v>544.95563258312256</v>
      </c>
      <c r="H68" s="56">
        <f>'Car+SUV'!H9*('[5]16_17 fleet_v2'!$D291/'Original 2016-17 Data'!$C8)/1000000</f>
        <v>594.57170798494383</v>
      </c>
      <c r="I68" s="56">
        <f>'Car+SUV'!I9*('[6]17_18 fleet_v3'!$D293/'Original 2017-18 Data'!$C8)/1000000</f>
        <v>617.0442433127298</v>
      </c>
      <c r="J68" s="56">
        <f>$I68*'[10]Regional GDP'!J9/'[10]Regional GDP'!$I9</f>
        <v>707.11287717084338</v>
      </c>
      <c r="K68" s="56">
        <f>$I68*'[10]Regional GDP'!K9/'[10]Regional GDP'!$I9</f>
        <v>789.86779764442804</v>
      </c>
      <c r="L68" s="56">
        <f>$I68*'[10]Regional GDP'!L9/'[10]Regional GDP'!$I9</f>
        <v>872.68975139290842</v>
      </c>
      <c r="M68" s="56">
        <f>$I68*'[10]Regional GDP'!M9/'[10]Regional GDP'!$I9</f>
        <v>960.69796927136235</v>
      </c>
      <c r="N68" s="56">
        <f>$I68*'[10]Regional GDP'!N9/'[10]Regional GDP'!$I9</f>
        <v>1057.1198761211149</v>
      </c>
      <c r="O68" s="56">
        <f>$I68*'[10]Regional GDP'!O9/'[10]Regional GDP'!$I9</f>
        <v>1159.5972293770219</v>
      </c>
      <c r="P68" s="56">
        <f>$I68*'[10]Regional GDP'!P9/'[10]Regional GDP'!$I9</f>
        <v>1261.3707270458442</v>
      </c>
      <c r="Q68" s="57">
        <f>$I68*'[10]Regional GDP'!Q9/'[10]Regional GDP'!$I9</f>
        <v>1358.130833153077</v>
      </c>
    </row>
    <row r="69" spans="3:19" ht="15.5" x14ac:dyDescent="0.35">
      <c r="C69" s="24" t="s">
        <v>3</v>
      </c>
      <c r="D69" s="55">
        <f>'Car+SUV'!D10*('[1]12_13 fleet'!$D290/'Original 2012-13 Data'!$C9)/1000000</f>
        <v>274.41879789371825</v>
      </c>
      <c r="E69" s="56">
        <f>'Car+SUV'!E10*('[2]13_14 fleet'!$D292/'Original 2013-14 Data'!$C9)/1000000</f>
        <v>278.91289362123439</v>
      </c>
      <c r="F69" s="56">
        <f>'Car+SUV'!F10*('[3]14_15 fleet'!$D292/'Original 2014-15 Data'!$C9)/1000000</f>
        <v>265.47297835011824</v>
      </c>
      <c r="G69" s="56">
        <f>'Car+SUV'!G10*('[4]15_16 fleet'!$D292/'Original 2015-16 Data'!$C9)/1000000</f>
        <v>252.94350506099713</v>
      </c>
      <c r="H69" s="56">
        <f>'Car+SUV'!H10*('[5]16_17 fleet_v2'!$D292/'Original 2016-17 Data'!$C9)/1000000</f>
        <v>302.28052500383734</v>
      </c>
      <c r="I69" s="56">
        <f>'Car+SUV'!I10*('[6]17_18 fleet_v3'!$D294/'Original 2017-18 Data'!$C9)/1000000</f>
        <v>291.92892313673758</v>
      </c>
      <c r="J69" s="56">
        <f>$I69*'[10]Regional GDP'!J10/'[10]Regional GDP'!$I10</f>
        <v>331.5466724792185</v>
      </c>
      <c r="K69" s="56">
        <f>$I69*'[10]Regional GDP'!K10/'[10]Regional GDP'!$I10</f>
        <v>367.62498124094299</v>
      </c>
      <c r="L69" s="56">
        <f>$I69*'[10]Regional GDP'!L10/'[10]Regional GDP'!$I10</f>
        <v>403.22934332351298</v>
      </c>
      <c r="M69" s="56">
        <f>$I69*'[10]Regional GDP'!M10/'[10]Regional GDP'!$I10</f>
        <v>440.57234326847265</v>
      </c>
      <c r="N69" s="56">
        <f>$I69*'[10]Regional GDP'!N10/'[10]Regional GDP'!$I10</f>
        <v>481.23859558162559</v>
      </c>
      <c r="O69" s="56">
        <f>$I69*'[10]Regional GDP'!O10/'[10]Regional GDP'!$I10</f>
        <v>523.99383260375873</v>
      </c>
      <c r="P69" s="56">
        <f>$I69*'[10]Regional GDP'!P10/'[10]Regional GDP'!$I10</f>
        <v>565.7449478998642</v>
      </c>
      <c r="Q69" s="57">
        <f>$I69*'[10]Regional GDP'!Q10/'[10]Regional GDP'!$I10</f>
        <v>604.5799747059458</v>
      </c>
    </row>
    <row r="70" spans="3:19" ht="15.5" x14ac:dyDescent="0.35">
      <c r="C70" s="24" t="s">
        <v>4</v>
      </c>
      <c r="D70" s="55">
        <f>'Car+SUV'!D11*('[1]12_13 fleet'!$D291/'Original 2012-13 Data'!$C10)/1000000</f>
        <v>27.30869306171903</v>
      </c>
      <c r="E70" s="56">
        <f>'Car+SUV'!E11*('[2]13_14 fleet'!$D293/'Original 2013-14 Data'!$C10)/1000000</f>
        <v>27.05681267433361</v>
      </c>
      <c r="F70" s="56">
        <f>'Car+SUV'!F11*('[3]14_15 fleet'!$D293/'Original 2014-15 Data'!$C10)/1000000</f>
        <v>27.693291242003188</v>
      </c>
      <c r="G70" s="56">
        <f>'Car+SUV'!G11*('[4]15_16 fleet'!$D293/'Original 2015-16 Data'!$C10)/1000000</f>
        <v>26.430826498734035</v>
      </c>
      <c r="H70" s="56">
        <f>'Car+SUV'!H11*('[5]16_17 fleet_v2'!$D293/'Original 2016-17 Data'!$C10)/1000000</f>
        <v>25.876135456483702</v>
      </c>
      <c r="I70" s="56">
        <f>'Car+SUV'!I11*('[6]17_18 fleet_v3'!$D295/'Original 2017-18 Data'!$C10)/1000000</f>
        <v>27.306947054267912</v>
      </c>
      <c r="J70" s="56">
        <f>$I70*'[10]Regional GDP'!J11/'[10]Regional GDP'!$I11</f>
        <v>30.238536888389081</v>
      </c>
      <c r="K70" s="56">
        <f>$I70*'[10]Regional GDP'!K11/'[10]Regional GDP'!$I11</f>
        <v>32.875107832454589</v>
      </c>
      <c r="L70" s="56">
        <f>$I70*'[10]Regional GDP'!L11/'[10]Regional GDP'!$I11</f>
        <v>35.387019909210125</v>
      </c>
      <c r="M70" s="56">
        <f>$I70*'[10]Regional GDP'!M11/'[10]Regional GDP'!$I11</f>
        <v>37.917144893642963</v>
      </c>
      <c r="N70" s="56">
        <f>$I70*'[10]Regional GDP'!N11/'[10]Regional GDP'!$I11</f>
        <v>40.646346268156179</v>
      </c>
      <c r="O70" s="56">
        <f>$I70*'[10]Regional GDP'!O11/'[10]Regional GDP'!$I11</f>
        <v>43.439361856775804</v>
      </c>
      <c r="P70" s="56">
        <f>$I70*'[10]Regional GDP'!P11/'[10]Regional GDP'!$I11</f>
        <v>46.039420186041575</v>
      </c>
      <c r="Q70" s="57">
        <f>$I70*'[10]Regional GDP'!Q11/'[10]Regional GDP'!$I11</f>
        <v>48.302851620732724</v>
      </c>
    </row>
    <row r="71" spans="3:19" ht="15.5" x14ac:dyDescent="0.35">
      <c r="C71" s="24" t="s">
        <v>5</v>
      </c>
      <c r="D71" s="55">
        <f>'Car+SUV'!D12*('[1]12_13 fleet'!$D292/'Original 2012-13 Data'!$C11)/1000000</f>
        <v>141.76302835979683</v>
      </c>
      <c r="E71" s="56">
        <f>'Car+SUV'!E12*('[2]13_14 fleet'!$D294/'Original 2013-14 Data'!$C11)/1000000</f>
        <v>137.57829605064359</v>
      </c>
      <c r="F71" s="56">
        <f>'Car+SUV'!F12*('[3]14_15 fleet'!$D294/'Original 2014-15 Data'!$C11)/1000000</f>
        <v>138.81144157627637</v>
      </c>
      <c r="G71" s="56">
        <f>'Car+SUV'!G12*('[4]15_16 fleet'!$D294/'Original 2015-16 Data'!$C11)/1000000</f>
        <v>133.832811274222</v>
      </c>
      <c r="H71" s="56">
        <f>'Car+SUV'!H12*('[5]16_17 fleet_v2'!$D294/'Original 2016-17 Data'!$C11)/1000000</f>
        <v>148.2158799822765</v>
      </c>
      <c r="I71" s="56">
        <f>'Car+SUV'!I12*('[6]17_18 fleet_v3'!$D296/'Original 2017-18 Data'!$C11)/1000000</f>
        <v>152.38172491669226</v>
      </c>
      <c r="J71" s="56">
        <f>$I71*'[10]Regional GDP'!J12/'[10]Regional GDP'!$I12</f>
        <v>172.96750247859805</v>
      </c>
      <c r="K71" s="56">
        <f>$I71*'[10]Regional GDP'!K12/'[10]Regional GDP'!$I12</f>
        <v>191.83265317232144</v>
      </c>
      <c r="L71" s="56">
        <f>$I71*'[10]Regional GDP'!L12/'[10]Regional GDP'!$I12</f>
        <v>210.49701940896892</v>
      </c>
      <c r="M71" s="56">
        <f>$I71*'[10]Regional GDP'!M12/'[10]Regional GDP'!$I12</f>
        <v>230.297292410539</v>
      </c>
      <c r="N71" s="56">
        <f>$I71*'[10]Regional GDP'!N12/'[10]Regional GDP'!$I12</f>
        <v>252.16532719053021</v>
      </c>
      <c r="O71" s="56">
        <f>$I71*'[10]Regional GDP'!O12/'[10]Regional GDP'!$I12</f>
        <v>275.43843608555466</v>
      </c>
      <c r="P71" s="56">
        <f>$I71*'[10]Regional GDP'!P12/'[10]Regional GDP'!$I12</f>
        <v>298.54970198299026</v>
      </c>
      <c r="Q71" s="57">
        <f>$I71*'[10]Regional GDP'!Q12/'[10]Regional GDP'!$I12</f>
        <v>320.53482717642129</v>
      </c>
    </row>
    <row r="72" spans="3:19" ht="15.5" x14ac:dyDescent="0.35">
      <c r="C72" s="24" t="s">
        <v>6</v>
      </c>
      <c r="D72" s="55">
        <f>'Car+SUV'!D13*('[1]12_13 fleet'!$D293/'Original 2012-13 Data'!$C12)/1000000</f>
        <v>84.745209562274127</v>
      </c>
      <c r="E72" s="56">
        <f>'Car+SUV'!E13*('[2]13_14 fleet'!$D295/'Original 2013-14 Data'!$C12)/1000000</f>
        <v>86.89162737404493</v>
      </c>
      <c r="F72" s="56">
        <f>'Car+SUV'!F13*('[3]14_15 fleet'!$D295/'Original 2014-15 Data'!$C12)/1000000</f>
        <v>86.525924771083922</v>
      </c>
      <c r="G72" s="56">
        <f>'Car+SUV'!G13*('[4]15_16 fleet'!$D295/'Original 2015-16 Data'!$C12)/1000000</f>
        <v>83.635590058695499</v>
      </c>
      <c r="H72" s="56">
        <f>'Car+SUV'!H13*('[5]16_17 fleet_v2'!$D295/'Original 2016-17 Data'!$C12)/1000000</f>
        <v>88.709538517146555</v>
      </c>
      <c r="I72" s="56">
        <f>'Car+SUV'!I13*('[6]17_18 fleet_v3'!$D297/'Original 2017-18 Data'!$C12)/1000000</f>
        <v>89.689886750508592</v>
      </c>
      <c r="J72" s="56">
        <f>$I72*'[10]Regional GDP'!J13/'[10]Regional GDP'!$I13</f>
        <v>102.66406501953561</v>
      </c>
      <c r="K72" s="56">
        <f>$I72*'[10]Regional GDP'!K13/'[10]Regional GDP'!$I13</f>
        <v>114.68724646861263</v>
      </c>
      <c r="L72" s="56">
        <f>$I72*'[10]Regional GDP'!L13/'[10]Regional GDP'!$I13</f>
        <v>126.89474117356382</v>
      </c>
      <c r="M72" s="56">
        <f>$I72*'[10]Regional GDP'!M13/'[10]Regional GDP'!$I13</f>
        <v>140.0428098921077</v>
      </c>
      <c r="N72" s="56">
        <f>$I72*'[10]Regional GDP'!N13/'[10]Regional GDP'!$I13</f>
        <v>154.6638412334695</v>
      </c>
      <c r="O72" s="56">
        <f>$I72*'[10]Regional GDP'!O13/'[10]Regional GDP'!$I13</f>
        <v>170.36430377670675</v>
      </c>
      <c r="P72" s="56">
        <f>$I72*'[10]Regional GDP'!P13/'[10]Regional GDP'!$I13</f>
        <v>186.18267193330507</v>
      </c>
      <c r="Q72" s="57">
        <f>$I72*'[10]Regional GDP'!Q13/'[10]Regional GDP'!$I13</f>
        <v>201.50377706056923</v>
      </c>
    </row>
    <row r="73" spans="3:19" ht="15.5" x14ac:dyDescent="0.35">
      <c r="C73" s="24" t="s">
        <v>7</v>
      </c>
      <c r="D73" s="55">
        <f>'Car+SUV'!D14*('[1]12_13 fleet'!$D294/'Original 2012-13 Data'!$C13)/1000000</f>
        <v>218.23147519157882</v>
      </c>
      <c r="E73" s="56">
        <f>'Car+SUV'!E14*('[2]13_14 fleet'!$D296/'Original 2013-14 Data'!$C13)/1000000</f>
        <v>222.59904800804958</v>
      </c>
      <c r="F73" s="56">
        <f>'Car+SUV'!F14*('[3]14_15 fleet'!$D296/'Original 2014-15 Data'!$C13)/1000000</f>
        <v>216.83557997778985</v>
      </c>
      <c r="G73" s="56">
        <f>'Car+SUV'!G14*('[4]15_16 fleet'!$D296/'Original 2015-16 Data'!$C13)/1000000</f>
        <v>208.09135197342349</v>
      </c>
      <c r="H73" s="56">
        <f>'Car+SUV'!H14*('[5]16_17 fleet_v2'!$D296/'Original 2016-17 Data'!$C13)/1000000</f>
        <v>221.07226508958252</v>
      </c>
      <c r="I73" s="56">
        <f>'Car+SUV'!I14*('[6]17_18 fleet_v3'!$D298/'Original 2017-18 Data'!$C13)/1000000</f>
        <v>215.9178092836959</v>
      </c>
      <c r="J73" s="56">
        <f>$I73*'[10]Regional GDP'!J14/'[10]Regional GDP'!$I14</f>
        <v>242.13244810130919</v>
      </c>
      <c r="K73" s="56">
        <f>$I73*'[10]Regional GDP'!K14/'[10]Regional GDP'!$I14</f>
        <v>265.84081299746629</v>
      </c>
      <c r="L73" s="56">
        <f>$I73*'[10]Regional GDP'!L14/'[10]Regional GDP'!$I14</f>
        <v>288.81714677204013</v>
      </c>
      <c r="M73" s="56">
        <f>$I73*'[10]Regional GDP'!M14/'[10]Regional GDP'!$I14</f>
        <v>312.83765464248279</v>
      </c>
      <c r="N73" s="56">
        <f>$I73*'[10]Regional GDP'!N14/'[10]Regional GDP'!$I14</f>
        <v>338.72507266263926</v>
      </c>
      <c r="O73" s="56">
        <f>$I73*'[10]Regional GDP'!O14/'[10]Regional GDP'!$I14</f>
        <v>365.83574544557882</v>
      </c>
      <c r="P73" s="56">
        <f>$I73*'[10]Regional GDP'!P14/'[10]Regional GDP'!$I14</f>
        <v>392.05984038673023</v>
      </c>
      <c r="Q73" s="57">
        <f>$I73*'[10]Regional GDP'!Q14/'[10]Regional GDP'!$I14</f>
        <v>416.16592296179999</v>
      </c>
    </row>
    <row r="74" spans="3:19" ht="15.5" x14ac:dyDescent="0.35">
      <c r="C74" s="24" t="s">
        <v>8</v>
      </c>
      <c r="D74" s="55">
        <f>'Car+SUV'!D15*('[1]12_13 fleet'!$D295/'Original 2012-13 Data'!$C14)/1000000</f>
        <v>389.05725540424424</v>
      </c>
      <c r="E74" s="56">
        <f>'Car+SUV'!E15*('[2]13_14 fleet'!$D297/'Original 2013-14 Data'!$C14)/1000000</f>
        <v>396.13325692537563</v>
      </c>
      <c r="F74" s="56">
        <f>'Car+SUV'!F15*('[3]14_15 fleet'!$D297/'Original 2014-15 Data'!$C14)/1000000</f>
        <v>407.76859043861577</v>
      </c>
      <c r="G74" s="56">
        <f>'Car+SUV'!G15*('[4]15_16 fleet'!$D297/'Original 2015-16 Data'!$C14)/1000000</f>
        <v>368.04630363278324</v>
      </c>
      <c r="H74" s="56">
        <f>'Car+SUV'!H15*('[5]16_17 fleet_v2'!$D297/'Original 2016-17 Data'!$C14)/1000000</f>
        <v>384.01839873871967</v>
      </c>
      <c r="I74" s="56">
        <f>'Car+SUV'!I15*('[6]17_18 fleet_v3'!$D299/'Original 2017-18 Data'!$C14)/1000000</f>
        <v>391.38472005207268</v>
      </c>
      <c r="J74" s="56">
        <f>$I74*'[10]Regional GDP'!J15/'[10]Regional GDP'!$I15</f>
        <v>449.69705630162588</v>
      </c>
      <c r="K74" s="56">
        <f>$I74*'[10]Regional GDP'!K15/'[10]Regional GDP'!$I15</f>
        <v>504.16301793811436</v>
      </c>
      <c r="L74" s="56">
        <f>$I74*'[10]Regional GDP'!L15/'[10]Regional GDP'!$I15</f>
        <v>559.35624083594632</v>
      </c>
      <c r="M74" s="56">
        <f>$I74*'[10]Regional GDP'!M15/'[10]Regional GDP'!$I15</f>
        <v>618.6116625196662</v>
      </c>
      <c r="N74" s="56">
        <f>$I74*'[10]Regional GDP'!N15/'[10]Regional GDP'!$I15</f>
        <v>684.02540534789875</v>
      </c>
      <c r="O74" s="56">
        <f>$I74*'[10]Regional GDP'!O15/'[10]Regional GDP'!$I15</f>
        <v>754.2277929476179</v>
      </c>
      <c r="P74" s="56">
        <f>$I74*'[10]Regional GDP'!P15/'[10]Regional GDP'!$I15</f>
        <v>824.93582540231455</v>
      </c>
      <c r="Q74" s="57">
        <f>$I74*'[10]Regional GDP'!Q15/'[10]Regional GDP'!$I15</f>
        <v>893.38729449703749</v>
      </c>
    </row>
    <row r="75" spans="3:19" ht="15.5" x14ac:dyDescent="0.35">
      <c r="C75" s="24" t="s">
        <v>9</v>
      </c>
      <c r="D75" s="55">
        <f>'Car+SUV'!D16*('[1]12_13 fleet'!$D296/'Original 2012-13 Data'!$C15)/1000000</f>
        <v>133.92169843201475</v>
      </c>
      <c r="E75" s="56">
        <f>'Car+SUV'!E16*('[2]13_14 fleet'!$D298/'Original 2013-14 Data'!$C15)/1000000</f>
        <v>137.32045222312735</v>
      </c>
      <c r="F75" s="56">
        <f>'Car+SUV'!F16*('[3]14_15 fleet'!$D298/'Original 2014-15 Data'!$C15)/1000000</f>
        <v>124.11205636235701</v>
      </c>
      <c r="G75" s="56">
        <f>'Car+SUV'!G16*('[4]15_16 fleet'!$D298/'Original 2015-16 Data'!$C15)/1000000</f>
        <v>141.78134028151956</v>
      </c>
      <c r="H75" s="56">
        <f>'Car+SUV'!H16*('[5]16_17 fleet_v2'!$D298/'Original 2016-17 Data'!$C15)/1000000</f>
        <v>160.13443890566549</v>
      </c>
      <c r="I75" s="56">
        <f>'Car+SUV'!I16*('[6]17_18 fleet_v3'!$D300/'Original 2017-18 Data'!$C15)/1000000</f>
        <v>188.90048018108149</v>
      </c>
      <c r="J75" s="56">
        <f>$I75*'[10]Regional GDP'!J16/'[10]Regional GDP'!$I16</f>
        <v>211.56754629654228</v>
      </c>
      <c r="K75" s="56">
        <f>$I75*'[10]Regional GDP'!K16/'[10]Regional GDP'!$I16</f>
        <v>232.28482728733863</v>
      </c>
      <c r="L75" s="56">
        <f>$I75*'[10]Regional GDP'!L16/'[10]Regional GDP'!$I16</f>
        <v>252.34129713469261</v>
      </c>
      <c r="M75" s="56">
        <f>$I75*'[10]Regional GDP'!M16/'[10]Regional GDP'!$I16</f>
        <v>273.13150423536814</v>
      </c>
      <c r="N75" s="56">
        <f>$I75*'[10]Regional GDP'!N16/'[10]Regional GDP'!$I16</f>
        <v>295.10111592914063</v>
      </c>
      <c r="O75" s="56">
        <f>$I75*'[10]Regional GDP'!O16/'[10]Regional GDP'!$I16</f>
        <v>317.88235823210459</v>
      </c>
      <c r="P75" s="56">
        <f>$I75*'[10]Regional GDP'!P16/'[10]Regional GDP'!$I16</f>
        <v>339.5994583397719</v>
      </c>
      <c r="Q75" s="57">
        <f>$I75*'[10]Regional GDP'!Q16/'[10]Regional GDP'!$I16</f>
        <v>359.15721352045625</v>
      </c>
    </row>
    <row r="76" spans="3:19" ht="15.5" x14ac:dyDescent="0.35">
      <c r="C76" s="24" t="s">
        <v>10</v>
      </c>
      <c r="D76" s="55">
        <f>'Car+SUV'!D17*('[1]12_13 fleet'!$D297/'Original 2012-13 Data'!$C16)/1000000</f>
        <v>46.924945220543997</v>
      </c>
      <c r="E76" s="56">
        <f>'Car+SUV'!E17*('[2]13_14 fleet'!$D299/'Original 2013-14 Data'!$C16)/1000000</f>
        <v>45.293154230930504</v>
      </c>
      <c r="F76" s="56">
        <f>'Car+SUV'!F17*('[3]14_15 fleet'!$D299/'Original 2014-15 Data'!$C16)/1000000</f>
        <v>49.24859581376252</v>
      </c>
      <c r="G76" s="56">
        <f>'Car+SUV'!G17*('[4]15_16 fleet'!$D299/'Original 2015-16 Data'!$C16)/1000000</f>
        <v>48.135843520237707</v>
      </c>
      <c r="H76" s="56">
        <f>'Car+SUV'!H17*('[5]16_17 fleet_v2'!$D299/'Original 2016-17 Data'!$C16)/1000000</f>
        <v>47.746434168783182</v>
      </c>
      <c r="I76" s="56">
        <f>'Car+SUV'!I17*('[6]17_18 fleet_v3'!$D301/'Original 2017-18 Data'!$C16)/1000000</f>
        <v>58.133268585390738</v>
      </c>
      <c r="J76" s="56">
        <f>$I76*'[10]Regional GDP'!J17/'[10]Regional GDP'!$I17</f>
        <v>63.201466748010205</v>
      </c>
      <c r="K76" s="56">
        <f>$I76*'[10]Regional GDP'!K17/'[10]Regional GDP'!$I17</f>
        <v>67.469839265588689</v>
      </c>
      <c r="L76" s="56">
        <f>$I76*'[10]Regional GDP'!L17/'[10]Regional GDP'!$I17</f>
        <v>71.297887119485409</v>
      </c>
      <c r="M76" s="56">
        <f>$I76*'[10]Regional GDP'!M17/'[10]Regional GDP'!$I17</f>
        <v>75.108003886113707</v>
      </c>
      <c r="N76" s="56">
        <f>$I76*'[10]Regional GDP'!N17/'[10]Regional GDP'!$I17</f>
        <v>79.186721933652436</v>
      </c>
      <c r="O76" s="56">
        <f>$I76*'[10]Regional GDP'!O17/'[10]Regional GDP'!$I17</f>
        <v>83.232808564750528</v>
      </c>
      <c r="P76" s="56">
        <f>$I76*'[10]Regional GDP'!P17/'[10]Regional GDP'!$I17</f>
        <v>86.760334719050732</v>
      </c>
      <c r="Q76" s="57">
        <f>$I76*'[10]Regional GDP'!Q17/'[10]Regional GDP'!$I17</f>
        <v>89.525015399700379</v>
      </c>
    </row>
    <row r="77" spans="3:19" ht="15.5" x14ac:dyDescent="0.35">
      <c r="C77" s="24" t="s">
        <v>11</v>
      </c>
      <c r="D77" s="55">
        <f>'Car+SUV'!D18*('[1]12_13 fleet'!$D298/'Original 2012-13 Data'!$C17)/1000000</f>
        <v>697.97626335213374</v>
      </c>
      <c r="E77" s="56">
        <f>'Car+SUV'!E18*('[2]13_14 fleet'!$D300/'Original 2013-14 Data'!$C17)/1000000</f>
        <v>741.0100265202376</v>
      </c>
      <c r="F77" s="56">
        <f>'Car+SUV'!F18*('[3]14_15 fleet'!$D300/'Original 2014-15 Data'!$C17)/1000000</f>
        <v>735.04754192563757</v>
      </c>
      <c r="G77" s="56">
        <f>'Car+SUV'!G18*('[4]15_16 fleet'!$D300/'Original 2015-16 Data'!$C17)/1000000</f>
        <v>734.4043648993545</v>
      </c>
      <c r="H77" s="56">
        <f>'Car+SUV'!H18*('[5]16_17 fleet_v2'!$D300/'Original 2016-17 Data'!$C17)/1000000</f>
        <v>829.3521087079439</v>
      </c>
      <c r="I77" s="56">
        <f>'Car+SUV'!I18*('[6]17_18 fleet_v3'!$D302/'Original 2017-18 Data'!$C17)/1000000</f>
        <v>886.33861060765764</v>
      </c>
      <c r="J77" s="56">
        <f>$I77*'[10]Regional GDP'!J18/'[10]Regional GDP'!$I18</f>
        <v>1037.5739687801708</v>
      </c>
      <c r="K77" s="56">
        <f>$I77*'[10]Regional GDP'!K18/'[10]Regional GDP'!$I18</f>
        <v>1177.6648538931518</v>
      </c>
      <c r="L77" s="56">
        <f>$I77*'[10]Regional GDP'!L18/'[10]Regional GDP'!$I18</f>
        <v>1322.0465016218736</v>
      </c>
      <c r="M77" s="56">
        <f>$I77*'[10]Regional GDP'!M18/'[10]Regional GDP'!$I18</f>
        <v>1479.3198285427163</v>
      </c>
      <c r="N77" s="56">
        <f>$I77*'[10]Regional GDP'!N18/'[10]Regional GDP'!$I18</f>
        <v>1654.7441308447333</v>
      </c>
      <c r="O77" s="56">
        <f>$I77*'[10]Regional GDP'!O18/'[10]Regional GDP'!$I18</f>
        <v>1845.49291973344</v>
      </c>
      <c r="P77" s="56">
        <f>$I77*'[10]Regional GDP'!P18/'[10]Regional GDP'!$I18</f>
        <v>2041.3351366768024</v>
      </c>
      <c r="Q77" s="57">
        <f>$I77*'[10]Regional GDP'!Q18/'[10]Regional GDP'!$I18</f>
        <v>2235.3621076153318</v>
      </c>
    </row>
    <row r="78" spans="3:19" ht="15.5" x14ac:dyDescent="0.35">
      <c r="C78" s="24" t="s">
        <v>12</v>
      </c>
      <c r="D78" s="55">
        <f>'Car+SUV'!D19*('[1]12_13 fleet'!$D299/'Original 2012-13 Data'!$C18)/1000000</f>
        <v>276.5722530241905</v>
      </c>
      <c r="E78" s="56">
        <f>'Car+SUV'!E19*('[2]13_14 fleet'!$D301/'Original 2013-14 Data'!$C18)/1000000</f>
        <v>294.86422990880612</v>
      </c>
      <c r="F78" s="56">
        <f>'Car+SUV'!F19*('[3]14_15 fleet'!$D301/'Original 2014-15 Data'!$C18)/1000000</f>
        <v>295.98099494561546</v>
      </c>
      <c r="G78" s="56">
        <f>'Car+SUV'!G19*('[4]15_16 fleet'!$D301/'Original 2015-16 Data'!$C18)/1000000</f>
        <v>293.63515157128177</v>
      </c>
      <c r="H78" s="56">
        <f>'Car+SUV'!H19*('[5]16_17 fleet_v2'!$D301/'Original 2016-17 Data'!$C18)/1000000</f>
        <v>333.12798427313521</v>
      </c>
      <c r="I78" s="56">
        <f>'Car+SUV'!I19*('[6]17_18 fleet_v3'!$D303/'Original 2017-18 Data'!$C18)/1000000</f>
        <v>340.3289703500605</v>
      </c>
      <c r="J78" s="56">
        <f>$I78*'[10]Regional GDP'!J19/'[10]Regional GDP'!$I19</f>
        <v>397.33109331301074</v>
      </c>
      <c r="K78" s="56">
        <f>$I78*'[10]Regional GDP'!K19/'[10]Regional GDP'!$I19</f>
        <v>448.75074464807614</v>
      </c>
      <c r="L78" s="56">
        <f>$I78*'[10]Regional GDP'!L19/'[10]Regional GDP'!$I19</f>
        <v>501.42560409720079</v>
      </c>
      <c r="M78" s="56">
        <f>$I78*'[10]Regional GDP'!M19/'[10]Regional GDP'!$I19</f>
        <v>558.25665495138765</v>
      </c>
      <c r="N78" s="56">
        <f>$I78*'[10]Regional GDP'!N19/'[10]Regional GDP'!$I19</f>
        <v>621.52129145027686</v>
      </c>
      <c r="O78" s="56">
        <f>$I78*'[10]Regional GDP'!O19/'[10]Regional GDP'!$I19</f>
        <v>689.87253195355004</v>
      </c>
      <c r="P78" s="56">
        <f>$I78*'[10]Regional GDP'!P19/'[10]Regional GDP'!$I19</f>
        <v>759.42211612384222</v>
      </c>
      <c r="Q78" s="57">
        <f>$I78*'[10]Regional GDP'!Q19/'[10]Regional GDP'!$I19</f>
        <v>827.58667285976901</v>
      </c>
    </row>
    <row r="79" spans="3:19" ht="16" thickBot="1" x14ac:dyDescent="0.4">
      <c r="C79" s="25" t="s">
        <v>13</v>
      </c>
      <c r="D79" s="58">
        <f>'Car+SUV'!D20*('[1]12_13 fleet'!$D300/'Original 2012-13 Data'!$C19)/1000000</f>
        <v>96.784270553560106</v>
      </c>
      <c r="E79" s="59">
        <f>'Car+SUV'!E20*('[2]13_14 fleet'!$D302/'Original 2013-14 Data'!$C19)/1000000</f>
        <v>99.023073894774981</v>
      </c>
      <c r="F79" s="59">
        <f>'Car+SUV'!F20*('[3]14_15 fleet'!$D302/'Original 2014-15 Data'!$C19)/1000000</f>
        <v>91.563509587567026</v>
      </c>
      <c r="G79" s="59">
        <f>'Car+SUV'!G20*('[4]15_16 fleet'!$D302/'Original 2015-16 Data'!$C19)/1000000</f>
        <v>94.994588104692752</v>
      </c>
      <c r="H79" s="59">
        <f>'Car+SUV'!H20*('[5]16_17 fleet_v2'!$D302/'Original 2016-17 Data'!$C19)/1000000</f>
        <v>107.77665332631699</v>
      </c>
      <c r="I79" s="59">
        <f>'Car+SUV'!I20*('[6]17_18 fleet_v3'!$D304/'Original 2017-18 Data'!$C19)/1000000</f>
        <v>106.14076768370303</v>
      </c>
      <c r="J79" s="59">
        <f>$I79*'[10]Regional GDP'!J20/'[10]Regional GDP'!$I20</f>
        <v>116.4412998469833</v>
      </c>
      <c r="K79" s="59">
        <f>$I79*'[10]Regional GDP'!K20/'[10]Regional GDP'!$I20</f>
        <v>125.69971847129561</v>
      </c>
      <c r="L79" s="59">
        <f>$I79*'[10]Regional GDP'!L20/'[10]Regional GDP'!$I20</f>
        <v>134.49716453968207</v>
      </c>
      <c r="M79" s="59">
        <f>$I79*'[10]Regional GDP'!M20/'[10]Regional GDP'!$I20</f>
        <v>143.5393758970574</v>
      </c>
      <c r="N79" s="59">
        <f>$I79*'[10]Regional GDP'!N20/'[10]Regional GDP'!$I20</f>
        <v>153.2481724915192</v>
      </c>
      <c r="O79" s="59">
        <f>$I79*'[10]Regional GDP'!O20/'[10]Regional GDP'!$I20</f>
        <v>163.11563620614172</v>
      </c>
      <c r="P79" s="59">
        <f>$I79*'[10]Regional GDP'!P20/'[10]Regional GDP'!$I20</f>
        <v>172.17907462047097</v>
      </c>
      <c r="Q79" s="60">
        <f>$I79*'[10]Regional GDP'!Q20/'[10]Regional GDP'!$I20</f>
        <v>179.91263346499417</v>
      </c>
    </row>
    <row r="80" spans="3:19" ht="18" customHeight="1" thickTop="1" thickBot="1" x14ac:dyDescent="0.4">
      <c r="C80" s="20" t="s">
        <v>24</v>
      </c>
      <c r="D80" s="61">
        <f t="shared" ref="D80:N80" si="44">SUM(D66:D79)</f>
        <v>4868.4145845394669</v>
      </c>
      <c r="E80" s="62">
        <f t="shared" si="44"/>
        <v>4967.0781090115188</v>
      </c>
      <c r="F80" s="62">
        <f t="shared" si="44"/>
        <v>4888.1312323564507</v>
      </c>
      <c r="G80" s="62">
        <f t="shared" si="44"/>
        <v>4776.9709180134423</v>
      </c>
      <c r="H80" s="62">
        <f t="shared" si="44"/>
        <v>5363.264894528339</v>
      </c>
      <c r="I80" s="62">
        <f t="shared" si="44"/>
        <v>5468.5990381078254</v>
      </c>
      <c r="J80" s="62">
        <f t="shared" si="44"/>
        <v>6313.113389625938</v>
      </c>
      <c r="K80" s="62">
        <f t="shared" si="44"/>
        <v>7092.9964245876263</v>
      </c>
      <c r="L80" s="62">
        <f t="shared" si="44"/>
        <v>7886.1360210405919</v>
      </c>
      <c r="M80" s="62">
        <f t="shared" si="44"/>
        <v>8739.6598722340314</v>
      </c>
      <c r="N80" s="62">
        <f t="shared" si="44"/>
        <v>9684.5182054700199</v>
      </c>
      <c r="O80" s="62">
        <f t="shared" ref="O80:Q80" si="45">SUM(O66:O79)</f>
        <v>10702.167465299715</v>
      </c>
      <c r="P80" s="62">
        <f t="shared" si="45"/>
        <v>11732.29054410977</v>
      </c>
      <c r="Q80" s="63">
        <f t="shared" si="45"/>
        <v>12735.672809175105</v>
      </c>
    </row>
    <row r="81" spans="3:17" ht="13" thickTop="1" x14ac:dyDescent="0.25"/>
    <row r="82" spans="3:17" ht="13" thickBot="1" x14ac:dyDescent="0.3"/>
    <row r="83" spans="3:17" ht="16" thickTop="1" x14ac:dyDescent="0.35">
      <c r="C83" s="32" t="s">
        <v>137</v>
      </c>
      <c r="D83" s="34"/>
      <c r="E83" s="33"/>
      <c r="F83" s="33"/>
      <c r="G83" s="33"/>
      <c r="H83" s="33"/>
      <c r="I83" s="34"/>
      <c r="J83" s="34"/>
      <c r="K83" s="34"/>
      <c r="L83" s="34"/>
      <c r="M83" s="34"/>
      <c r="N83" s="34"/>
      <c r="O83" s="34"/>
      <c r="P83" s="34"/>
      <c r="Q83" s="35"/>
    </row>
    <row r="84" spans="3:17" ht="13.5" thickBot="1" x14ac:dyDescent="0.35">
      <c r="C84" s="18"/>
      <c r="D84" s="65" t="s">
        <v>25</v>
      </c>
      <c r="E84" s="65" t="s">
        <v>37</v>
      </c>
      <c r="F84" s="65" t="s">
        <v>38</v>
      </c>
      <c r="G84" s="37" t="s">
        <v>177</v>
      </c>
      <c r="H84" s="37" t="s">
        <v>178</v>
      </c>
      <c r="I84" s="65" t="s">
        <v>26</v>
      </c>
      <c r="J84" s="65" t="s">
        <v>27</v>
      </c>
      <c r="K84" s="65" t="s">
        <v>28</v>
      </c>
      <c r="L84" s="65" t="s">
        <v>29</v>
      </c>
      <c r="M84" s="65" t="s">
        <v>30</v>
      </c>
      <c r="N84" s="65" t="s">
        <v>31</v>
      </c>
      <c r="O84" s="37" t="s">
        <v>174</v>
      </c>
      <c r="P84" s="37" t="s">
        <v>175</v>
      </c>
      <c r="Q84" s="38" t="s">
        <v>176</v>
      </c>
    </row>
    <row r="85" spans="3:17" ht="14" thickTop="1" thickBot="1" x14ac:dyDescent="0.35">
      <c r="C85" s="70"/>
      <c r="D85" s="71" t="s">
        <v>39</v>
      </c>
      <c r="E85" s="71" t="s">
        <v>39</v>
      </c>
      <c r="F85" s="71" t="s">
        <v>39</v>
      </c>
      <c r="G85" s="65" t="s">
        <v>39</v>
      </c>
      <c r="H85" s="65" t="s">
        <v>39</v>
      </c>
      <c r="I85" s="71" t="s">
        <v>39</v>
      </c>
      <c r="J85" s="71" t="s">
        <v>32</v>
      </c>
      <c r="K85" s="71" t="s">
        <v>32</v>
      </c>
      <c r="L85" s="71" t="s">
        <v>32</v>
      </c>
      <c r="M85" s="71" t="s">
        <v>32</v>
      </c>
      <c r="N85" s="71" t="s">
        <v>32</v>
      </c>
      <c r="O85" s="65" t="s">
        <v>32</v>
      </c>
      <c r="P85" s="65" t="s">
        <v>32</v>
      </c>
      <c r="Q85" s="66" t="s">
        <v>32</v>
      </c>
    </row>
    <row r="86" spans="3:17" ht="16" thickTop="1" x14ac:dyDescent="0.35">
      <c r="C86" s="24" t="s">
        <v>0</v>
      </c>
      <c r="D86" s="52">
        <f>'Van+Ute'!D7*('[1]12_13 fleet'!$D407/'Original 2012-13 Data'!$D6)/1000000</f>
        <v>123.18200576581287</v>
      </c>
      <c r="E86" s="53">
        <f>'Van+Ute'!E7*('[2]13_14 fleet'!$D409/'Original 2013-14 Data'!$D6)/1000000</f>
        <v>133.99119481901039</v>
      </c>
      <c r="F86" s="53">
        <f>'Van+Ute'!F7*('[3]14_15 fleet'!$D409/'Original 2014-15 Data'!$D6)/1000000</f>
        <v>144.58018892751744</v>
      </c>
      <c r="G86" s="53">
        <f>'Van+Ute'!G7*('[4]15_16 fleet'!$D409/'Original 2015-16 Data'!$D6)/1000000</f>
        <v>149.01755583123835</v>
      </c>
      <c r="H86" s="53">
        <f>'Van+Ute'!H7*('[5]16_17 fleet_v2'!$D409/'Original 2016-17 Data'!$D6)/1000000</f>
        <v>158.09913792085203</v>
      </c>
      <c r="I86" s="53">
        <f>'Van+Ute'!I7*('[6]17_18 fleet_v3'!$D411/'Original 2017-18 Data'!$D6)/1000000</f>
        <v>179.26810856667868</v>
      </c>
      <c r="J86" s="53">
        <f>$I86*'[10]Regional GDP'!J7/'[10]Regional GDP'!$I7</f>
        <v>204.87023614920903</v>
      </c>
      <c r="K86" s="53">
        <f>$I86*'[10]Regional GDP'!K7/'[10]Regional GDP'!$I7</f>
        <v>228.39770459224846</v>
      </c>
      <c r="L86" s="53">
        <f>$I86*'[10]Regional GDP'!L7/'[10]Regional GDP'!$I7</f>
        <v>251.6411333949539</v>
      </c>
      <c r="M86" s="53">
        <f>$I86*'[10]Regional GDP'!M7/'[10]Regional GDP'!$I7</f>
        <v>276.2904086196906</v>
      </c>
      <c r="N86" s="53">
        <f>$I86*'[10]Regional GDP'!N7/'[10]Regional GDP'!$I7</f>
        <v>303.00486598557501</v>
      </c>
      <c r="O86" s="53">
        <f>$I86*'[10]Regional GDP'!O7/'[10]Regional GDP'!$I7</f>
        <v>331.42117330907314</v>
      </c>
      <c r="P86" s="53">
        <f>$I86*'[10]Regional GDP'!P7/'[10]Regional GDP'!$I7</f>
        <v>359.64128693590527</v>
      </c>
      <c r="Q86" s="54">
        <f>$I86*'[10]Regional GDP'!Q7/'[10]Regional GDP'!$I7</f>
        <v>386.4851061083391</v>
      </c>
    </row>
    <row r="87" spans="3:17" ht="15.5" x14ac:dyDescent="0.35">
      <c r="C87" s="24" t="s">
        <v>1</v>
      </c>
      <c r="D87" s="55">
        <f>'Van+Ute'!D8*('[1]12_13 fleet'!$D408/'Original 2012-13 Data'!$D7)/1000000</f>
        <v>796.91126556532868</v>
      </c>
      <c r="E87" s="56">
        <f>'Van+Ute'!E8*('[2]13_14 fleet'!$D410/'Original 2013-14 Data'!$D7)/1000000</f>
        <v>836.71681085294404</v>
      </c>
      <c r="F87" s="56">
        <f>'Van+Ute'!F8*('[3]14_15 fleet'!$D410/'Original 2014-15 Data'!$D7)/1000000</f>
        <v>878.13557647721814</v>
      </c>
      <c r="G87" s="56">
        <f>'Van+Ute'!G8*('[4]15_16 fleet'!$D410/'Original 2015-16 Data'!$D7)/1000000</f>
        <v>964.2349908010907</v>
      </c>
      <c r="H87" s="56">
        <f>'Van+Ute'!H8*('[5]16_17 fleet_v2'!$D410/'Original 2016-17 Data'!$D7)/1000000</f>
        <v>1103.5760688482669</v>
      </c>
      <c r="I87" s="56">
        <f>'Van+Ute'!I8*('[6]17_18 fleet_v3'!$D412/'Original 2017-18 Data'!$D7)/1000000</f>
        <v>1145.0954026991631</v>
      </c>
      <c r="J87" s="56">
        <f>$I87*'[10]Regional GDP'!J8/'[10]Regional GDP'!$I8</f>
        <v>1336.4392894722262</v>
      </c>
      <c r="K87" s="56">
        <f>$I87*'[10]Regional GDP'!K8/'[10]Regional GDP'!$I8</f>
        <v>1514.7661402216436</v>
      </c>
      <c r="L87" s="56">
        <f>$I87*'[10]Regional GDP'!L8/'[10]Regional GDP'!$I8</f>
        <v>1699.0333474753243</v>
      </c>
      <c r="M87" s="56">
        <f>$I87*'[10]Regional GDP'!M8/'[10]Regional GDP'!$I8</f>
        <v>1899.2097034733067</v>
      </c>
      <c r="N87" s="56">
        <f>$I87*'[10]Regional GDP'!N8/'[10]Regional GDP'!$I8</f>
        <v>2122.541093146051</v>
      </c>
      <c r="O87" s="56">
        <f>$I87*'[10]Regional GDP'!O8/'[10]Regional GDP'!$I8</f>
        <v>2365.4493633770089</v>
      </c>
      <c r="P87" s="56">
        <f>$I87*'[10]Regional GDP'!P8/'[10]Regional GDP'!$I8</f>
        <v>2614.8818028616288</v>
      </c>
      <c r="Q87" s="57">
        <f>$I87*'[10]Regional GDP'!Q8/'[10]Regional GDP'!$I8</f>
        <v>2862.0777577750127</v>
      </c>
    </row>
    <row r="88" spans="3:17" ht="15.5" x14ac:dyDescent="0.35">
      <c r="C88" s="24" t="s">
        <v>2</v>
      </c>
      <c r="D88" s="55">
        <f>'Van+Ute'!D9*('[1]12_13 fleet'!$D409/'Original 2012-13 Data'!$D8)/1000000</f>
        <v>408.85730536135173</v>
      </c>
      <c r="E88" s="56">
        <f>'Van+Ute'!E9*('[2]13_14 fleet'!$D411/'Original 2013-14 Data'!$D8)/1000000</f>
        <v>431.07674572912146</v>
      </c>
      <c r="F88" s="56">
        <f>'Van+Ute'!F9*('[3]14_15 fleet'!$D411/'Original 2014-15 Data'!$D8)/1000000</f>
        <v>474.23591970394472</v>
      </c>
      <c r="G88" s="56">
        <f>'Van+Ute'!G9*('[4]15_16 fleet'!$D411/'Original 2015-16 Data'!$D8)/1000000</f>
        <v>489.26799966914183</v>
      </c>
      <c r="H88" s="56">
        <f>'Van+Ute'!H9*('[5]16_17 fleet_v2'!$D411/'Original 2016-17 Data'!$D8)/1000000</f>
        <v>553.16275518529289</v>
      </c>
      <c r="I88" s="56">
        <f>'Van+Ute'!I9*('[6]17_18 fleet_v3'!$D413/'Original 2017-18 Data'!$D8)/1000000</f>
        <v>635.79017599625217</v>
      </c>
      <c r="J88" s="56">
        <f>$I88*'[10]Regional GDP'!J9/'[10]Regional GDP'!$I9</f>
        <v>728.59511371830979</v>
      </c>
      <c r="K88" s="56">
        <f>$I88*'[10]Regional GDP'!K9/'[10]Regional GDP'!$I9</f>
        <v>813.86414591927962</v>
      </c>
      <c r="L88" s="56">
        <f>$I88*'[10]Regional GDP'!L9/'[10]Regional GDP'!$I9</f>
        <v>899.20224788000405</v>
      </c>
      <c r="M88" s="56">
        <f>$I88*'[10]Regional GDP'!M9/'[10]Regional GDP'!$I9</f>
        <v>989.88417375561721</v>
      </c>
      <c r="N88" s="56">
        <f>$I88*'[10]Regional GDP'!N9/'[10]Regional GDP'!$I9</f>
        <v>1089.2353982266122</v>
      </c>
      <c r="O88" s="56">
        <f>$I88*'[10]Regional GDP'!O9/'[10]Regional GDP'!$I9</f>
        <v>1194.8260348273366</v>
      </c>
      <c r="P88" s="56">
        <f>$I88*'[10]Regional GDP'!P9/'[10]Regional GDP'!$I9</f>
        <v>1299.6914325615799</v>
      </c>
      <c r="Q88" s="57">
        <f>$I88*'[10]Regional GDP'!Q9/'[10]Regional GDP'!$I9</f>
        <v>1399.3911308539673</v>
      </c>
    </row>
    <row r="89" spans="3:17" ht="15.5" x14ac:dyDescent="0.35">
      <c r="C89" s="24" t="s">
        <v>3</v>
      </c>
      <c r="D89" s="55">
        <f>'Van+Ute'!D10*('[1]12_13 fleet'!$D410/'Original 2012-13 Data'!$D9)/1000000</f>
        <v>230.40054623344915</v>
      </c>
      <c r="E89" s="56">
        <f>'Van+Ute'!E10*('[2]13_14 fleet'!$D412/'Original 2013-14 Data'!$D9)/1000000</f>
        <v>247.67207284547206</v>
      </c>
      <c r="F89" s="56">
        <f>'Van+Ute'!F10*('[3]14_15 fleet'!$D412/'Original 2014-15 Data'!$D9)/1000000</f>
        <v>252.53342745175246</v>
      </c>
      <c r="G89" s="56">
        <f>'Van+Ute'!G10*('[4]15_16 fleet'!$D412/'Original 2015-16 Data'!$D9)/1000000</f>
        <v>261.47822763403434</v>
      </c>
      <c r="H89" s="56">
        <f>'Van+Ute'!H10*('[5]16_17 fleet_v2'!$D412/'Original 2016-17 Data'!$D9)/1000000</f>
        <v>314.90029448206673</v>
      </c>
      <c r="I89" s="56">
        <f>'Van+Ute'!I10*('[6]17_18 fleet_v3'!$D414/'Original 2017-18 Data'!$D9)/1000000</f>
        <v>330.80422941980515</v>
      </c>
      <c r="J89" s="56">
        <f>$I89*'[10]Regional GDP'!J10/'[10]Regional GDP'!$I10</f>
        <v>375.69775658993683</v>
      </c>
      <c r="K89" s="56">
        <f>$I89*'[10]Regional GDP'!K10/'[10]Regional GDP'!$I10</f>
        <v>416.58050640606871</v>
      </c>
      <c r="L89" s="56">
        <f>$I89*'[10]Regional GDP'!L10/'[10]Regional GDP'!$I10</f>
        <v>456.92619547364882</v>
      </c>
      <c r="M89" s="56">
        <f>$I89*'[10]Regional GDP'!M10/'[10]Regional GDP'!$I10</f>
        <v>499.24205163576693</v>
      </c>
      <c r="N89" s="56">
        <f>$I89*'[10]Regional GDP'!N10/'[10]Regional GDP'!$I10</f>
        <v>545.32370779815699</v>
      </c>
      <c r="O89" s="56">
        <f>$I89*'[10]Regional GDP'!O10/'[10]Regional GDP'!$I10</f>
        <v>593.77253254904713</v>
      </c>
      <c r="P89" s="56">
        <f>$I89*'[10]Regional GDP'!P10/'[10]Regional GDP'!$I10</f>
        <v>641.08351967065005</v>
      </c>
      <c r="Q89" s="57">
        <f>$I89*'[10]Regional GDP'!Q10/'[10]Regional GDP'!$I10</f>
        <v>685.09009147260178</v>
      </c>
    </row>
    <row r="90" spans="3:17" ht="15.5" x14ac:dyDescent="0.35">
      <c r="C90" s="24" t="s">
        <v>4</v>
      </c>
      <c r="D90" s="55">
        <f>'Van+Ute'!D11*('[1]12_13 fleet'!$D411/'Original 2012-13 Data'!$D10)/1000000</f>
        <v>41.62162097590825</v>
      </c>
      <c r="E90" s="56">
        <f>'Van+Ute'!E11*('[2]13_14 fleet'!$D413/'Original 2013-14 Data'!$D10)/1000000</f>
        <v>44.989457248690393</v>
      </c>
      <c r="F90" s="56">
        <f>'Van+Ute'!F11*('[3]14_15 fleet'!$D413/'Original 2014-15 Data'!$D10)/1000000</f>
        <v>46.634801678968095</v>
      </c>
      <c r="G90" s="56">
        <f>'Van+Ute'!G11*('[4]15_16 fleet'!$D413/'Original 2015-16 Data'!$D10)/1000000</f>
        <v>46.919188549454489</v>
      </c>
      <c r="H90" s="56">
        <f>'Van+Ute'!H11*('[5]16_17 fleet_v2'!$D413/'Original 2016-17 Data'!$D10)/1000000</f>
        <v>47.787395141786178</v>
      </c>
      <c r="I90" s="56">
        <f>'Van+Ute'!I11*('[6]17_18 fleet_v3'!$D415/'Original 2017-18 Data'!$D10)/1000000</f>
        <v>51.421671366338117</v>
      </c>
      <c r="J90" s="56">
        <f>$I90*'[10]Regional GDP'!J11/'[10]Regional GDP'!$I11</f>
        <v>56.942143820893072</v>
      </c>
      <c r="K90" s="56">
        <f>$I90*'[10]Regional GDP'!K11/'[10]Regional GDP'!$I11</f>
        <v>61.907066642559528</v>
      </c>
      <c r="L90" s="56">
        <f>$I90*'[10]Regional GDP'!L11/'[10]Regional GDP'!$I11</f>
        <v>66.637244536681564</v>
      </c>
      <c r="M90" s="56">
        <f>$I90*'[10]Regional GDP'!M11/'[10]Regional GDP'!$I11</f>
        <v>71.40171913015071</v>
      </c>
      <c r="N90" s="56">
        <f>$I90*'[10]Regional GDP'!N11/'[10]Regional GDP'!$I11</f>
        <v>76.541074177563175</v>
      </c>
      <c r="O90" s="56">
        <f>$I90*'[10]Regional GDP'!O11/'[10]Regional GDP'!$I11</f>
        <v>81.800597676606657</v>
      </c>
      <c r="P90" s="56">
        <f>$I90*'[10]Regional GDP'!P11/'[10]Regional GDP'!$I11</f>
        <v>86.69676364767291</v>
      </c>
      <c r="Q90" s="57">
        <f>$I90*'[10]Regional GDP'!Q11/'[10]Regional GDP'!$I11</f>
        <v>90.959028014451945</v>
      </c>
    </row>
    <row r="91" spans="3:17" ht="15.5" x14ac:dyDescent="0.35">
      <c r="C91" s="24" t="s">
        <v>5</v>
      </c>
      <c r="D91" s="55">
        <f>'Van+Ute'!D12*('[1]12_13 fleet'!$D412/'Original 2012-13 Data'!$D11)/1000000</f>
        <v>119.7878662525421</v>
      </c>
      <c r="E91" s="56">
        <f>'Van+Ute'!E12*('[2]13_14 fleet'!$D414/'Original 2013-14 Data'!$D11)/1000000</f>
        <v>123.79693049010913</v>
      </c>
      <c r="F91" s="56">
        <f>'Van+Ute'!F12*('[3]14_15 fleet'!$D414/'Original 2014-15 Data'!$D11)/1000000</f>
        <v>132.64448652125961</v>
      </c>
      <c r="G91" s="56">
        <f>'Van+Ute'!G12*('[4]15_16 fleet'!$D414/'Original 2015-16 Data'!$D11)/1000000</f>
        <v>138.57080390921578</v>
      </c>
      <c r="H91" s="56">
        <f>'Van+Ute'!H12*('[5]16_17 fleet_v2'!$D414/'Original 2016-17 Data'!$D11)/1000000</f>
        <v>152.58031042608991</v>
      </c>
      <c r="I91" s="56">
        <f>'Van+Ute'!I12*('[6]17_18 fleet_v3'!$D416/'Original 2017-18 Data'!$D11)/1000000</f>
        <v>165.12043161673202</v>
      </c>
      <c r="J91" s="56">
        <f>$I91*'[10]Regional GDP'!J12/'[10]Regional GDP'!$I12</f>
        <v>187.4271254020021</v>
      </c>
      <c r="K91" s="56">
        <f>$I91*'[10]Regional GDP'!K12/'[10]Regional GDP'!$I12</f>
        <v>207.86935249166984</v>
      </c>
      <c r="L91" s="56">
        <f>$I91*'[10]Regional GDP'!L12/'[10]Regional GDP'!$I12</f>
        <v>228.09401007795759</v>
      </c>
      <c r="M91" s="56">
        <f>$I91*'[10]Regional GDP'!M12/'[10]Regional GDP'!$I12</f>
        <v>249.54953321195404</v>
      </c>
      <c r="N91" s="56">
        <f>$I91*'[10]Regional GDP'!N12/'[10]Regional GDP'!$I12</f>
        <v>273.24567750652693</v>
      </c>
      <c r="O91" s="56">
        <f>$I91*'[10]Regional GDP'!O12/'[10]Regional GDP'!$I12</f>
        <v>298.46435637310725</v>
      </c>
      <c r="P91" s="56">
        <f>$I91*'[10]Regional GDP'!P12/'[10]Regional GDP'!$I12</f>
        <v>323.50766259818073</v>
      </c>
      <c r="Q91" s="57">
        <f>$I91*'[10]Regional GDP'!Q12/'[10]Regional GDP'!$I12</f>
        <v>347.33068575316776</v>
      </c>
    </row>
    <row r="92" spans="3:17" ht="15.5" x14ac:dyDescent="0.35">
      <c r="C92" s="24" t="s">
        <v>6</v>
      </c>
      <c r="D92" s="55">
        <f>'Van+Ute'!D13*('[1]12_13 fleet'!$D413/'Original 2012-13 Data'!$D12)/1000000</f>
        <v>74.686375725055086</v>
      </c>
      <c r="E92" s="56">
        <f>'Van+Ute'!E13*('[2]13_14 fleet'!$D415/'Original 2013-14 Data'!$D12)/1000000</f>
        <v>80.091404935888505</v>
      </c>
      <c r="F92" s="56">
        <f>'Van+Ute'!F13*('[3]14_15 fleet'!$D415/'Original 2014-15 Data'!$D12)/1000000</f>
        <v>84.414317101540789</v>
      </c>
      <c r="G92" s="56">
        <f>'Van+Ute'!G13*('[4]15_16 fleet'!$D415/'Original 2015-16 Data'!$D12)/1000000</f>
        <v>86.302003454782096</v>
      </c>
      <c r="H92" s="56">
        <f>'Van+Ute'!H13*('[5]16_17 fleet_v2'!$D415/'Original 2016-17 Data'!$D12)/1000000</f>
        <v>89.176342836659074</v>
      </c>
      <c r="I92" s="56">
        <f>'Van+Ute'!I13*('[6]17_18 fleet_v3'!$D417/'Original 2017-18 Data'!$D12)/1000000</f>
        <v>94.751135291052051</v>
      </c>
      <c r="J92" s="56">
        <f>$I92*'[10]Regional GDP'!J13/'[10]Regional GDP'!$I13</f>
        <v>108.45745341673343</v>
      </c>
      <c r="K92" s="56">
        <f>$I92*'[10]Regional GDP'!K13/'[10]Regional GDP'!$I13</f>
        <v>121.15910946051146</v>
      </c>
      <c r="L92" s="56">
        <f>$I92*'[10]Regional GDP'!L13/'[10]Regional GDP'!$I13</f>
        <v>134.05547965630808</v>
      </c>
      <c r="M92" s="56">
        <f>$I92*'[10]Regional GDP'!M13/'[10]Regional GDP'!$I13</f>
        <v>147.94550096308305</v>
      </c>
      <c r="N92" s="56">
        <f>$I92*'[10]Regional GDP'!N13/'[10]Regional GDP'!$I13</f>
        <v>163.39160496557506</v>
      </c>
      <c r="O92" s="56">
        <f>$I92*'[10]Regional GDP'!O13/'[10]Regional GDP'!$I13</f>
        <v>179.97805305313415</v>
      </c>
      <c r="P92" s="56">
        <f>$I92*'[10]Regional GDP'!P13/'[10]Regional GDP'!$I13</f>
        <v>196.68906023122068</v>
      </c>
      <c r="Q92" s="57">
        <f>$I92*'[10]Regional GDP'!Q13/'[10]Regional GDP'!$I13</f>
        <v>212.87474355982192</v>
      </c>
    </row>
    <row r="93" spans="3:17" ht="15.5" x14ac:dyDescent="0.35">
      <c r="C93" s="24" t="s">
        <v>7</v>
      </c>
      <c r="D93" s="55">
        <f>'Van+Ute'!D14*('[1]12_13 fleet'!$D414/'Original 2012-13 Data'!$D13)/1000000</f>
        <v>175.50024718008748</v>
      </c>
      <c r="E93" s="56">
        <f>'Van+Ute'!E14*('[2]13_14 fleet'!$D416/'Original 2013-14 Data'!$D13)/1000000</f>
        <v>187.09543188002314</v>
      </c>
      <c r="F93" s="56">
        <f>'Van+Ute'!F14*('[3]14_15 fleet'!$D416/'Original 2014-15 Data'!$D13)/1000000</f>
        <v>195.39727413282864</v>
      </c>
      <c r="G93" s="56">
        <f>'Van+Ute'!G14*('[4]15_16 fleet'!$D416/'Original 2015-16 Data'!$D13)/1000000</f>
        <v>205.71184986786184</v>
      </c>
      <c r="H93" s="56">
        <f>'Van+Ute'!H14*('[5]16_17 fleet_v2'!$D416/'Original 2016-17 Data'!$D13)/1000000</f>
        <v>218.8521601836112</v>
      </c>
      <c r="I93" s="56">
        <f>'Van+Ute'!I14*('[6]17_18 fleet_v3'!$D418/'Original 2017-18 Data'!$D13)/1000000</f>
        <v>232.50314465532963</v>
      </c>
      <c r="J93" s="56">
        <f>$I93*'[10]Regional GDP'!J14/'[10]Regional GDP'!$I14</f>
        <v>260.73141346427497</v>
      </c>
      <c r="K93" s="56">
        <f>$I93*'[10]Regional GDP'!K14/'[10]Regional GDP'!$I14</f>
        <v>286.26089346075798</v>
      </c>
      <c r="L93" s="56">
        <f>$I93*'[10]Regional GDP'!L14/'[10]Regional GDP'!$I14</f>
        <v>311.00211269117312</v>
      </c>
      <c r="M93" s="56">
        <f>$I93*'[10]Regional GDP'!M14/'[10]Regional GDP'!$I14</f>
        <v>336.86771235904513</v>
      </c>
      <c r="N93" s="56">
        <f>$I93*'[10]Regional GDP'!N14/'[10]Regional GDP'!$I14</f>
        <v>364.74362549775776</v>
      </c>
      <c r="O93" s="56">
        <f>$I93*'[10]Regional GDP'!O14/'[10]Regional GDP'!$I14</f>
        <v>393.93675549785479</v>
      </c>
      <c r="P93" s="56">
        <f>$I93*'[10]Regional GDP'!P14/'[10]Regional GDP'!$I14</f>
        <v>422.17520678533754</v>
      </c>
      <c r="Q93" s="57">
        <f>$I93*'[10]Regional GDP'!Q14/'[10]Regional GDP'!$I14</f>
        <v>448.13295442374863</v>
      </c>
    </row>
    <row r="94" spans="3:17" ht="15.5" x14ac:dyDescent="0.35">
      <c r="C94" s="24" t="s">
        <v>8</v>
      </c>
      <c r="D94" s="55">
        <f>'Van+Ute'!D15*('[1]12_13 fleet'!$D415/'Original 2012-13 Data'!$D14)/1000000</f>
        <v>225.010300853226</v>
      </c>
      <c r="E94" s="56">
        <f>'Van+Ute'!E15*('[2]13_14 fleet'!$D417/'Original 2013-14 Data'!$D14)/1000000</f>
        <v>239.51372384585136</v>
      </c>
      <c r="F94" s="56">
        <f>'Van+Ute'!F15*('[3]14_15 fleet'!$D417/'Original 2014-15 Data'!$D14)/1000000</f>
        <v>263.45794608361695</v>
      </c>
      <c r="G94" s="56">
        <f>'Van+Ute'!G15*('[4]15_16 fleet'!$D417/'Original 2015-16 Data'!$D14)/1000000</f>
        <v>259.72944484008957</v>
      </c>
      <c r="H94" s="56">
        <f>'Van+Ute'!H15*('[5]16_17 fleet_v2'!$D417/'Original 2016-17 Data'!$D14)/1000000</f>
        <v>270.88421937962119</v>
      </c>
      <c r="I94" s="56">
        <f>'Van+Ute'!I15*('[6]17_18 fleet_v3'!$D419/'Original 2017-18 Data'!$D14)/1000000</f>
        <v>298.58994424391466</v>
      </c>
      <c r="J94" s="56">
        <f>$I94*'[10]Regional GDP'!J15/'[10]Regional GDP'!$I15</f>
        <v>343.07680419892245</v>
      </c>
      <c r="K94" s="56">
        <f>$I94*'[10]Regional GDP'!K15/'[10]Regional GDP'!$I15</f>
        <v>384.62923998657033</v>
      </c>
      <c r="L94" s="56">
        <f>$I94*'[10]Regional GDP'!L15/'[10]Regional GDP'!$I15</f>
        <v>426.7365081127071</v>
      </c>
      <c r="M94" s="56">
        <f>$I94*'[10]Regional GDP'!M15/'[10]Regional GDP'!$I15</f>
        <v>471.94285406902742</v>
      </c>
      <c r="N94" s="56">
        <f>$I94*'[10]Regional GDP'!N15/'[10]Regional GDP'!$I15</f>
        <v>521.8474232133442</v>
      </c>
      <c r="O94" s="56">
        <f>$I94*'[10]Regional GDP'!O15/'[10]Regional GDP'!$I15</f>
        <v>575.40528054717402</v>
      </c>
      <c r="P94" s="56">
        <f>$I94*'[10]Regional GDP'!P15/'[10]Regional GDP'!$I15</f>
        <v>629.34889762408943</v>
      </c>
      <c r="Q94" s="57">
        <f>$I94*'[10]Regional GDP'!Q15/'[10]Regional GDP'!$I15</f>
        <v>681.5709678614968</v>
      </c>
    </row>
    <row r="95" spans="3:17" ht="15.5" x14ac:dyDescent="0.35">
      <c r="C95" s="24" t="s">
        <v>9</v>
      </c>
      <c r="D95" s="55">
        <f>'Van+Ute'!D16*('[1]12_13 fleet'!$D416/'Original 2012-13 Data'!$D15)/1000000</f>
        <v>113.67399656971789</v>
      </c>
      <c r="E95" s="56">
        <f>'Van+Ute'!E16*('[2]13_14 fleet'!$D418/'Original 2013-14 Data'!$D15)/1000000</f>
        <v>119.8095084612745</v>
      </c>
      <c r="F95" s="56">
        <f>'Van+Ute'!F16*('[3]14_15 fleet'!$D418/'Original 2014-15 Data'!$D15)/1000000</f>
        <v>118.48678729310265</v>
      </c>
      <c r="G95" s="56">
        <f>'Van+Ute'!G16*('[4]15_16 fleet'!$D418/'Original 2015-16 Data'!$D15)/1000000</f>
        <v>134.15061893971614</v>
      </c>
      <c r="H95" s="56">
        <f>'Van+Ute'!H16*('[5]16_17 fleet_v2'!$D418/'Original 2016-17 Data'!$D15)/1000000</f>
        <v>143.47945432057134</v>
      </c>
      <c r="I95" s="56">
        <f>'Van+Ute'!I16*('[6]17_18 fleet_v3'!$D420/'Original 2017-18 Data'!$D15)/1000000</f>
        <v>159.7857574353994</v>
      </c>
      <c r="J95" s="56">
        <f>$I95*'[10]Regional GDP'!J16/'[10]Regional GDP'!$I16</f>
        <v>178.95920963957178</v>
      </c>
      <c r="K95" s="56">
        <f>$I95*'[10]Regional GDP'!K16/'[10]Regional GDP'!$I16</f>
        <v>196.48339185415955</v>
      </c>
      <c r="L95" s="56">
        <f>$I95*'[10]Regional GDP'!L16/'[10]Regional GDP'!$I16</f>
        <v>213.44861196883375</v>
      </c>
      <c r="M95" s="56">
        <f>$I95*'[10]Regional GDP'!M16/'[10]Regional GDP'!$I16</f>
        <v>231.03448038820355</v>
      </c>
      <c r="N95" s="56">
        <f>$I95*'[10]Regional GDP'!N16/'[10]Regional GDP'!$I16</f>
        <v>249.61797494409836</v>
      </c>
      <c r="O95" s="56">
        <f>$I95*'[10]Regional GDP'!O16/'[10]Regional GDP'!$I16</f>
        <v>268.88800566720192</v>
      </c>
      <c r="P95" s="56">
        <f>$I95*'[10]Regional GDP'!P16/'[10]Regional GDP'!$I16</f>
        <v>287.25790756833823</v>
      </c>
      <c r="Q95" s="57">
        <f>$I95*'[10]Regional GDP'!Q16/'[10]Regional GDP'!$I16</f>
        <v>303.80127856605117</v>
      </c>
    </row>
    <row r="96" spans="3:17" ht="15.5" x14ac:dyDescent="0.35">
      <c r="C96" s="24" t="s">
        <v>10</v>
      </c>
      <c r="D96" s="55">
        <f>'Van+Ute'!D17*('[1]12_13 fleet'!$D417/'Original 2012-13 Data'!$D16)/1000000</f>
        <v>58.110369341662711</v>
      </c>
      <c r="E96" s="56">
        <f>'Van+Ute'!E17*('[2]13_14 fleet'!$D419/'Original 2013-14 Data'!$D16)/1000000</f>
        <v>58.361419866368145</v>
      </c>
      <c r="F96" s="56">
        <f>'Van+Ute'!F17*('[3]14_15 fleet'!$D419/'Original 2014-15 Data'!$D16)/1000000</f>
        <v>60.996626234669698</v>
      </c>
      <c r="G96" s="56">
        <f>'Van+Ute'!G17*('[4]15_16 fleet'!$D419/'Original 2015-16 Data'!$D16)/1000000</f>
        <v>57.983915603657991</v>
      </c>
      <c r="H96" s="56">
        <f>'Van+Ute'!H17*('[5]16_17 fleet_v2'!$D419/'Original 2016-17 Data'!$D16)/1000000</f>
        <v>60.554326359868504</v>
      </c>
      <c r="I96" s="56">
        <f>'Van+Ute'!I17*('[6]17_18 fleet_v3'!$D421/'Original 2017-18 Data'!$D16)/1000000</f>
        <v>65.705997245324227</v>
      </c>
      <c r="J96" s="56">
        <f>$I96*'[10]Regional GDP'!J17/'[10]Regional GDP'!$I17</f>
        <v>71.43440410451673</v>
      </c>
      <c r="K96" s="56">
        <f>$I96*'[10]Regional GDP'!K17/'[10]Regional GDP'!$I17</f>
        <v>76.258796052650027</v>
      </c>
      <c r="L96" s="56">
        <f>$I96*'[10]Regional GDP'!L17/'[10]Regional GDP'!$I17</f>
        <v>80.585504456696597</v>
      </c>
      <c r="M96" s="56">
        <f>$I96*'[10]Regional GDP'!M17/'[10]Regional GDP'!$I17</f>
        <v>84.891945980876727</v>
      </c>
      <c r="N96" s="56">
        <f>$I96*'[10]Regional GDP'!N17/'[10]Regional GDP'!$I17</f>
        <v>89.501978124560154</v>
      </c>
      <c r="O96" s="56">
        <f>$I96*'[10]Regional GDP'!O17/'[10]Regional GDP'!$I17</f>
        <v>94.075128121222903</v>
      </c>
      <c r="P96" s="56">
        <f>$I96*'[10]Regional GDP'!P17/'[10]Regional GDP'!$I17</f>
        <v>98.06216737460332</v>
      </c>
      <c r="Q96" s="57">
        <f>$I96*'[10]Regional GDP'!Q17/'[10]Regional GDP'!$I17</f>
        <v>101.18698910934089</v>
      </c>
    </row>
    <row r="97" spans="3:17" ht="15.5" x14ac:dyDescent="0.35">
      <c r="C97" s="24" t="s">
        <v>11</v>
      </c>
      <c r="D97" s="55">
        <f>'Van+Ute'!D18*('[1]12_13 fleet'!$D418/'Original 2012-13 Data'!$D17)/1000000</f>
        <v>471.58224881401145</v>
      </c>
      <c r="E97" s="56">
        <f>'Van+Ute'!E18*('[2]13_14 fleet'!$D420/'Original 2013-14 Data'!$D17)/1000000</f>
        <v>544.29198171811208</v>
      </c>
      <c r="F97" s="56">
        <f>'Van+Ute'!F18*('[3]14_15 fleet'!$D420/'Original 2014-15 Data'!$D17)/1000000</f>
        <v>596.87804588426707</v>
      </c>
      <c r="G97" s="56">
        <f>'Van+Ute'!G18*('[4]15_16 fleet'!$D420/'Original 2015-16 Data'!$D17)/1000000</f>
        <v>631.34365371088529</v>
      </c>
      <c r="H97" s="56">
        <f>'Van+Ute'!H18*('[5]16_17 fleet_v2'!$D420/'Original 2016-17 Data'!$D17)/1000000</f>
        <v>650.16663674549113</v>
      </c>
      <c r="I97" s="56">
        <f>'Van+Ute'!I18*('[6]17_18 fleet_v3'!$D422/'Original 2017-18 Data'!$D17)/1000000</f>
        <v>702.95569179823929</v>
      </c>
      <c r="J97" s="56">
        <f>$I97*'[10]Regional GDP'!J18/'[10]Regional GDP'!$I18</f>
        <v>822.90054645782379</v>
      </c>
      <c r="K97" s="56">
        <f>$I97*'[10]Regional GDP'!K18/'[10]Regional GDP'!$I18</f>
        <v>934.00671274759964</v>
      </c>
      <c r="L97" s="56">
        <f>$I97*'[10]Regional GDP'!L18/'[10]Regional GDP'!$I18</f>
        <v>1048.515885480728</v>
      </c>
      <c r="M97" s="56">
        <f>$I97*'[10]Regional GDP'!M18/'[10]Regional GDP'!$I18</f>
        <v>1173.2494568313616</v>
      </c>
      <c r="N97" s="56">
        <f>$I97*'[10]Regional GDP'!N18/'[10]Regional GDP'!$I18</f>
        <v>1312.3785778096237</v>
      </c>
      <c r="O97" s="56">
        <f>$I97*'[10]Regional GDP'!O18/'[10]Regional GDP'!$I18</f>
        <v>1463.6615584314527</v>
      </c>
      <c r="P97" s="56">
        <f>$I97*'[10]Regional GDP'!P18/'[10]Regional GDP'!$I18</f>
        <v>1618.9841399450115</v>
      </c>
      <c r="Q97" s="57">
        <f>$I97*'[10]Regional GDP'!Q18/'[10]Regional GDP'!$I18</f>
        <v>1772.8670487467646</v>
      </c>
    </row>
    <row r="98" spans="3:17" ht="15.5" x14ac:dyDescent="0.35">
      <c r="C98" s="24" t="s">
        <v>12</v>
      </c>
      <c r="D98" s="55">
        <f>'Van+Ute'!D19*('[1]12_13 fleet'!$D419/'Original 2012-13 Data'!$D18)/1000000</f>
        <v>186.21771931401329</v>
      </c>
      <c r="E98" s="56">
        <f>'Van+Ute'!E19*('[2]13_14 fleet'!$D421/'Original 2013-14 Data'!$D18)/1000000</f>
        <v>199.47758185336059</v>
      </c>
      <c r="F98" s="56">
        <f>'Van+Ute'!F19*('[3]14_15 fleet'!$D421/'Original 2014-15 Data'!$D18)/1000000</f>
        <v>215.33680100087935</v>
      </c>
      <c r="G98" s="56">
        <f>'Van+Ute'!G19*('[4]15_16 fleet'!$D421/'Original 2015-16 Data'!$D18)/1000000</f>
        <v>225.11824397374161</v>
      </c>
      <c r="H98" s="56">
        <f>'Van+Ute'!H19*('[5]16_17 fleet_v2'!$D421/'Original 2016-17 Data'!$D18)/1000000</f>
        <v>239.97328110402427</v>
      </c>
      <c r="I98" s="56">
        <f>'Van+Ute'!I19*('[6]17_18 fleet_v3'!$D423/'Original 2017-18 Data'!$D18)/1000000</f>
        <v>259.37700365621504</v>
      </c>
      <c r="J98" s="56">
        <f>$I98*'[10]Regional GDP'!J19/'[10]Regional GDP'!$I19</f>
        <v>302.82038093016661</v>
      </c>
      <c r="K98" s="56">
        <f>$I98*'[10]Regional GDP'!K19/'[10]Regional GDP'!$I19</f>
        <v>342.0091548938351</v>
      </c>
      <c r="L98" s="56">
        <f>$I98*'[10]Regional GDP'!L19/'[10]Regional GDP'!$I19</f>
        <v>382.15456830919288</v>
      </c>
      <c r="M98" s="56">
        <f>$I98*'[10]Regional GDP'!M19/'[10]Regional GDP'!$I19</f>
        <v>425.46756534858918</v>
      </c>
      <c r="N98" s="56">
        <f>$I98*'[10]Regional GDP'!N19/'[10]Regional GDP'!$I19</f>
        <v>473.68383043940099</v>
      </c>
      <c r="O98" s="56">
        <f>$I98*'[10]Regional GDP'!O19/'[10]Regional GDP'!$I19</f>
        <v>525.77678020999679</v>
      </c>
      <c r="P98" s="56">
        <f>$I98*'[10]Regional GDP'!P19/'[10]Regional GDP'!$I19</f>
        <v>578.78303098280264</v>
      </c>
      <c r="Q98" s="57">
        <f>$I98*'[10]Regional GDP'!Q19/'[10]Regional GDP'!$I19</f>
        <v>630.73370230982152</v>
      </c>
    </row>
    <row r="99" spans="3:17" ht="16" thickBot="1" x14ac:dyDescent="0.4">
      <c r="C99" s="25" t="s">
        <v>13</v>
      </c>
      <c r="D99" s="58">
        <f>'Van+Ute'!D20*('[1]12_13 fleet'!$D420/'Original 2012-13 Data'!$D19)/1000000</f>
        <v>102.70781396576267</v>
      </c>
      <c r="E99" s="59">
        <f>'Van+Ute'!E20*('[2]13_14 fleet'!$D422/'Original 2013-14 Data'!$D19)/1000000</f>
        <v>112.79088597792406</v>
      </c>
      <c r="F99" s="59">
        <f>'Van+Ute'!F20*('[3]14_15 fleet'!$D422/'Original 2014-15 Data'!$D19)/1000000</f>
        <v>115.16035045289365</v>
      </c>
      <c r="G99" s="59">
        <f>'Van+Ute'!G20*('[4]15_16 fleet'!$D422/'Original 2015-16 Data'!$D19)/1000000</f>
        <v>129.22155627521394</v>
      </c>
      <c r="H99" s="59">
        <f>'Van+Ute'!H20*('[5]16_17 fleet_v2'!$D422/'Original 2016-17 Data'!$D19)/1000000</f>
        <v>136.84541332163863</v>
      </c>
      <c r="I99" s="59">
        <f>'Van+Ute'!I20*('[6]17_18 fleet_v3'!$D424/'Original 2017-18 Data'!$D19)/1000000</f>
        <v>144.15458395086821</v>
      </c>
      <c r="J99" s="59">
        <f>$I99*'[10]Regional GDP'!J20/'[10]Regional GDP'!$I20</f>
        <v>158.14420321662556</v>
      </c>
      <c r="K99" s="59">
        <f>$I99*'[10]Regional GDP'!K20/'[10]Regional GDP'!$I20</f>
        <v>170.71848088539008</v>
      </c>
      <c r="L99" s="59">
        <f>$I99*'[10]Regional GDP'!L20/'[10]Regional GDP'!$I20</f>
        <v>182.66669084744382</v>
      </c>
      <c r="M99" s="59">
        <f>$I99*'[10]Regional GDP'!M20/'[10]Regional GDP'!$I20</f>
        <v>194.94732763445651</v>
      </c>
      <c r="N99" s="59">
        <f>$I99*'[10]Regional GDP'!N20/'[10]Regional GDP'!$I20</f>
        <v>208.13328402313581</v>
      </c>
      <c r="O99" s="59">
        <f>$I99*'[10]Regional GDP'!O20/'[10]Regional GDP'!$I20</f>
        <v>221.53473341410438</v>
      </c>
      <c r="P99" s="59">
        <f>$I99*'[10]Regional GDP'!P20/'[10]Regional GDP'!$I20</f>
        <v>233.84419962858851</v>
      </c>
      <c r="Q99" s="60">
        <f>$I99*'[10]Regional GDP'!Q20/'[10]Regional GDP'!$I20</f>
        <v>244.34749616601283</v>
      </c>
    </row>
    <row r="100" spans="3:17" ht="18" customHeight="1" thickTop="1" thickBot="1" x14ac:dyDescent="0.4">
      <c r="C100" s="20" t="s">
        <v>24</v>
      </c>
      <c r="D100" s="61">
        <f t="shared" ref="D100:N100" si="46">SUM(D86:D99)</f>
        <v>3128.2496819179296</v>
      </c>
      <c r="E100" s="62">
        <f t="shared" si="46"/>
        <v>3359.6751505241505</v>
      </c>
      <c r="F100" s="62">
        <f t="shared" si="46"/>
        <v>3578.8925489444591</v>
      </c>
      <c r="G100" s="62">
        <f t="shared" si="46"/>
        <v>3779.0500530601239</v>
      </c>
      <c r="H100" s="62">
        <f t="shared" si="46"/>
        <v>4140.0377962558396</v>
      </c>
      <c r="I100" s="62">
        <f t="shared" si="46"/>
        <v>4465.3232779413111</v>
      </c>
      <c r="J100" s="62">
        <f t="shared" si="46"/>
        <v>5136.4960805812134</v>
      </c>
      <c r="K100" s="62">
        <f t="shared" si="46"/>
        <v>5754.9106956149435</v>
      </c>
      <c r="L100" s="62">
        <f t="shared" si="46"/>
        <v>6380.6995403616538</v>
      </c>
      <c r="M100" s="62">
        <f t="shared" si="46"/>
        <v>7051.9244334011291</v>
      </c>
      <c r="N100" s="62">
        <f t="shared" si="46"/>
        <v>7793.1901158579813</v>
      </c>
      <c r="O100" s="62">
        <f t="shared" ref="O100:Q100" si="47">SUM(O86:O99)</f>
        <v>8588.9903530543215</v>
      </c>
      <c r="P100" s="62">
        <f t="shared" si="47"/>
        <v>9390.6470784156099</v>
      </c>
      <c r="Q100" s="63">
        <f t="shared" si="47"/>
        <v>10166.848980720599</v>
      </c>
    </row>
    <row r="101" spans="3:17" ht="13" thickTop="1" x14ac:dyDescent="0.25"/>
    <row r="102" spans="3:17" ht="13" thickBot="1" x14ac:dyDescent="0.3"/>
    <row r="103" spans="3:17" ht="16" thickTop="1" x14ac:dyDescent="0.35">
      <c r="C103" s="32" t="s">
        <v>135</v>
      </c>
      <c r="D103" s="34"/>
      <c r="E103" s="33"/>
      <c r="F103" s="33"/>
      <c r="G103" s="33"/>
      <c r="H103" s="33"/>
      <c r="I103" s="34"/>
      <c r="J103" s="34"/>
      <c r="K103" s="34"/>
      <c r="L103" s="34"/>
      <c r="M103" s="34"/>
      <c r="N103" s="34"/>
      <c r="O103" s="34"/>
      <c r="P103" s="34"/>
      <c r="Q103" s="35"/>
    </row>
    <row r="104" spans="3:17" ht="13.5" thickBot="1" x14ac:dyDescent="0.35">
      <c r="C104" s="18"/>
      <c r="D104" s="65" t="s">
        <v>25</v>
      </c>
      <c r="E104" s="65" t="s">
        <v>37</v>
      </c>
      <c r="F104" s="65" t="s">
        <v>38</v>
      </c>
      <c r="G104" s="37" t="s">
        <v>177</v>
      </c>
      <c r="H104" s="37" t="s">
        <v>178</v>
      </c>
      <c r="I104" s="65" t="s">
        <v>26</v>
      </c>
      <c r="J104" s="65" t="s">
        <v>27</v>
      </c>
      <c r="K104" s="65" t="s">
        <v>28</v>
      </c>
      <c r="L104" s="65" t="s">
        <v>29</v>
      </c>
      <c r="M104" s="65" t="s">
        <v>30</v>
      </c>
      <c r="N104" s="65" t="s">
        <v>31</v>
      </c>
      <c r="O104" s="37" t="s">
        <v>174</v>
      </c>
      <c r="P104" s="37" t="s">
        <v>175</v>
      </c>
      <c r="Q104" s="38" t="s">
        <v>176</v>
      </c>
    </row>
    <row r="105" spans="3:17" ht="14" thickTop="1" thickBot="1" x14ac:dyDescent="0.35">
      <c r="C105" s="70"/>
      <c r="D105" s="71" t="s">
        <v>39</v>
      </c>
      <c r="E105" s="71" t="s">
        <v>39</v>
      </c>
      <c r="F105" s="71" t="s">
        <v>39</v>
      </c>
      <c r="G105" s="65" t="s">
        <v>39</v>
      </c>
      <c r="H105" s="65" t="s">
        <v>39</v>
      </c>
      <c r="I105" s="71" t="s">
        <v>39</v>
      </c>
      <c r="J105" s="71" t="s">
        <v>32</v>
      </c>
      <c r="K105" s="71" t="s">
        <v>32</v>
      </c>
      <c r="L105" s="71" t="s">
        <v>32</v>
      </c>
      <c r="M105" s="71" t="s">
        <v>32</v>
      </c>
      <c r="N105" s="71" t="s">
        <v>32</v>
      </c>
      <c r="O105" s="65" t="s">
        <v>32</v>
      </c>
      <c r="P105" s="65" t="s">
        <v>32</v>
      </c>
      <c r="Q105" s="66" t="s">
        <v>32</v>
      </c>
    </row>
    <row r="106" spans="3:17" ht="16" thickTop="1" x14ac:dyDescent="0.35">
      <c r="C106" s="24" t="s">
        <v>0</v>
      </c>
      <c r="D106" s="67">
        <v>0</v>
      </c>
      <c r="E106" s="68">
        <v>0</v>
      </c>
      <c r="F106" s="68">
        <v>0</v>
      </c>
      <c r="G106" s="68">
        <v>0</v>
      </c>
      <c r="H106" s="68">
        <v>0</v>
      </c>
      <c r="I106" s="178">
        <v>0</v>
      </c>
      <c r="J106" s="178">
        <f>'[10]Other Assumptions'!J25</f>
        <v>0</v>
      </c>
      <c r="K106" s="178">
        <f>'[10]Other Assumptions'!K25</f>
        <v>0</v>
      </c>
      <c r="L106" s="178">
        <f>'[10]Other Assumptions'!L25</f>
        <v>0</v>
      </c>
      <c r="M106" s="178">
        <f>'[10]Other Assumptions'!M25</f>
        <v>0</v>
      </c>
      <c r="N106" s="178">
        <f>'[10]Other Assumptions'!N25</f>
        <v>0</v>
      </c>
      <c r="O106" s="68">
        <f>'[10]Other Assumptions'!O25</f>
        <v>0</v>
      </c>
      <c r="P106" s="68">
        <f>'[10]Other Assumptions'!P25</f>
        <v>0</v>
      </c>
      <c r="Q106" s="69">
        <f>'[10]Other Assumptions'!Q25</f>
        <v>0</v>
      </c>
    </row>
    <row r="107" spans="3:17" ht="15.5" x14ac:dyDescent="0.35">
      <c r="C107" s="24" t="s">
        <v>1</v>
      </c>
      <c r="D107" s="149">
        <v>0</v>
      </c>
      <c r="E107" s="150">
        <v>0</v>
      </c>
      <c r="F107" s="150">
        <v>0</v>
      </c>
      <c r="G107" s="150">
        <v>0</v>
      </c>
      <c r="H107" s="150">
        <v>0</v>
      </c>
      <c r="I107" s="169">
        <v>0</v>
      </c>
      <c r="J107" s="169">
        <f>'[10]Other Assumptions'!J26</f>
        <v>0</v>
      </c>
      <c r="K107" s="169">
        <f>'[10]Other Assumptions'!K26</f>
        <v>0</v>
      </c>
      <c r="L107" s="169">
        <f>'[10]Other Assumptions'!L26</f>
        <v>0</v>
      </c>
      <c r="M107" s="169">
        <f>'[10]Other Assumptions'!M26</f>
        <v>0</v>
      </c>
      <c r="N107" s="169">
        <f>'[10]Other Assumptions'!N26</f>
        <v>0</v>
      </c>
      <c r="O107" s="150">
        <f>'[10]Other Assumptions'!O26</f>
        <v>0</v>
      </c>
      <c r="P107" s="150">
        <f>'[10]Other Assumptions'!P26</f>
        <v>0</v>
      </c>
      <c r="Q107" s="192">
        <f>'[10]Other Assumptions'!Q26</f>
        <v>0</v>
      </c>
    </row>
    <row r="108" spans="3:17" ht="15.5" x14ac:dyDescent="0.35">
      <c r="C108" s="24" t="s">
        <v>2</v>
      </c>
      <c r="D108" s="149">
        <v>0</v>
      </c>
      <c r="E108" s="150">
        <v>0</v>
      </c>
      <c r="F108" s="150">
        <v>0</v>
      </c>
      <c r="G108" s="150">
        <v>0</v>
      </c>
      <c r="H108" s="150">
        <v>0</v>
      </c>
      <c r="I108" s="169">
        <v>0</v>
      </c>
      <c r="J108" s="169">
        <f>'[10]Other Assumptions'!J27</f>
        <v>0</v>
      </c>
      <c r="K108" s="169">
        <f>'[10]Other Assumptions'!K27</f>
        <v>0</v>
      </c>
      <c r="L108" s="169">
        <f>'[10]Other Assumptions'!L27</f>
        <v>0</v>
      </c>
      <c r="M108" s="169">
        <f>'[10]Other Assumptions'!M27</f>
        <v>0</v>
      </c>
      <c r="N108" s="169">
        <f>'[10]Other Assumptions'!N27</f>
        <v>0</v>
      </c>
      <c r="O108" s="150">
        <f>'[10]Other Assumptions'!O27</f>
        <v>0</v>
      </c>
      <c r="P108" s="150">
        <f>'[10]Other Assumptions'!P27</f>
        <v>0</v>
      </c>
      <c r="Q108" s="192">
        <f>'[10]Other Assumptions'!Q27</f>
        <v>0</v>
      </c>
    </row>
    <row r="109" spans="3:17" ht="15.5" x14ac:dyDescent="0.35">
      <c r="C109" s="24" t="s">
        <v>3</v>
      </c>
      <c r="D109" s="149">
        <v>0</v>
      </c>
      <c r="E109" s="150">
        <v>0</v>
      </c>
      <c r="F109" s="150">
        <v>0</v>
      </c>
      <c r="G109" s="150">
        <v>0</v>
      </c>
      <c r="H109" s="150">
        <v>0</v>
      </c>
      <c r="I109" s="169">
        <v>0</v>
      </c>
      <c r="J109" s="169">
        <f>'[10]Other Assumptions'!J28</f>
        <v>0</v>
      </c>
      <c r="K109" s="169">
        <f>'[10]Other Assumptions'!K28</f>
        <v>0</v>
      </c>
      <c r="L109" s="169">
        <f>'[10]Other Assumptions'!L28</f>
        <v>0</v>
      </c>
      <c r="M109" s="169">
        <f>'[10]Other Assumptions'!M28</f>
        <v>0</v>
      </c>
      <c r="N109" s="169">
        <f>'[10]Other Assumptions'!N28</f>
        <v>0</v>
      </c>
      <c r="O109" s="150">
        <f>'[10]Other Assumptions'!O28</f>
        <v>0</v>
      </c>
      <c r="P109" s="150">
        <f>'[10]Other Assumptions'!P28</f>
        <v>0</v>
      </c>
      <c r="Q109" s="192">
        <f>'[10]Other Assumptions'!Q28</f>
        <v>0</v>
      </c>
    </row>
    <row r="110" spans="3:17" ht="15.5" x14ac:dyDescent="0.35">
      <c r="C110" s="24" t="s">
        <v>4</v>
      </c>
      <c r="D110" s="149">
        <v>0</v>
      </c>
      <c r="E110" s="150">
        <v>0</v>
      </c>
      <c r="F110" s="150">
        <v>0</v>
      </c>
      <c r="G110" s="150">
        <v>0</v>
      </c>
      <c r="H110" s="150">
        <v>0</v>
      </c>
      <c r="I110" s="169">
        <v>0</v>
      </c>
      <c r="J110" s="169">
        <f>'[10]Other Assumptions'!J29</f>
        <v>0</v>
      </c>
      <c r="K110" s="169">
        <f>'[10]Other Assumptions'!K29</f>
        <v>0</v>
      </c>
      <c r="L110" s="169">
        <f>'[10]Other Assumptions'!L29</f>
        <v>0</v>
      </c>
      <c r="M110" s="169">
        <f>'[10]Other Assumptions'!M29</f>
        <v>0</v>
      </c>
      <c r="N110" s="169">
        <f>'[10]Other Assumptions'!N29</f>
        <v>0</v>
      </c>
      <c r="O110" s="150">
        <f>'[10]Other Assumptions'!O29</f>
        <v>0</v>
      </c>
      <c r="P110" s="150">
        <f>'[10]Other Assumptions'!P29</f>
        <v>0</v>
      </c>
      <c r="Q110" s="192">
        <f>'[10]Other Assumptions'!Q29</f>
        <v>0</v>
      </c>
    </row>
    <row r="111" spans="3:17" ht="15.5" x14ac:dyDescent="0.35">
      <c r="C111" s="24" t="s">
        <v>5</v>
      </c>
      <c r="D111" s="149">
        <v>0</v>
      </c>
      <c r="E111" s="150">
        <v>0</v>
      </c>
      <c r="F111" s="150">
        <v>0</v>
      </c>
      <c r="G111" s="150">
        <v>0</v>
      </c>
      <c r="H111" s="150">
        <v>0</v>
      </c>
      <c r="I111" s="169">
        <v>0</v>
      </c>
      <c r="J111" s="169">
        <f>'[10]Other Assumptions'!J30</f>
        <v>0</v>
      </c>
      <c r="K111" s="169">
        <f>'[10]Other Assumptions'!K30</f>
        <v>0</v>
      </c>
      <c r="L111" s="169">
        <f>'[10]Other Assumptions'!L30</f>
        <v>0</v>
      </c>
      <c r="M111" s="169">
        <f>'[10]Other Assumptions'!M30</f>
        <v>0</v>
      </c>
      <c r="N111" s="169">
        <f>'[10]Other Assumptions'!N30</f>
        <v>0</v>
      </c>
      <c r="O111" s="150">
        <f>'[10]Other Assumptions'!O30</f>
        <v>0</v>
      </c>
      <c r="P111" s="150">
        <f>'[10]Other Assumptions'!P30</f>
        <v>0</v>
      </c>
      <c r="Q111" s="192">
        <f>'[10]Other Assumptions'!Q30</f>
        <v>0</v>
      </c>
    </row>
    <row r="112" spans="3:17" ht="15.5" x14ac:dyDescent="0.35">
      <c r="C112" s="24" t="s">
        <v>6</v>
      </c>
      <c r="D112" s="149">
        <v>0</v>
      </c>
      <c r="E112" s="150">
        <v>0</v>
      </c>
      <c r="F112" s="150">
        <v>0</v>
      </c>
      <c r="G112" s="150">
        <v>0</v>
      </c>
      <c r="H112" s="150">
        <v>0</v>
      </c>
      <c r="I112" s="169">
        <v>0</v>
      </c>
      <c r="J112" s="169">
        <f>'[10]Other Assumptions'!J31</f>
        <v>0</v>
      </c>
      <c r="K112" s="169">
        <f>'[10]Other Assumptions'!K31</f>
        <v>0</v>
      </c>
      <c r="L112" s="169">
        <f>'[10]Other Assumptions'!L31</f>
        <v>0</v>
      </c>
      <c r="M112" s="169">
        <f>'[10]Other Assumptions'!M31</f>
        <v>0</v>
      </c>
      <c r="N112" s="169">
        <f>'[10]Other Assumptions'!N31</f>
        <v>0</v>
      </c>
      <c r="O112" s="150">
        <f>'[10]Other Assumptions'!O31</f>
        <v>0</v>
      </c>
      <c r="P112" s="150">
        <f>'[10]Other Assumptions'!P31</f>
        <v>0</v>
      </c>
      <c r="Q112" s="192">
        <f>'[10]Other Assumptions'!Q31</f>
        <v>0</v>
      </c>
    </row>
    <row r="113" spans="3:17" ht="15.5" x14ac:dyDescent="0.35">
      <c r="C113" s="24" t="s">
        <v>7</v>
      </c>
      <c r="D113" s="149">
        <v>0</v>
      </c>
      <c r="E113" s="150">
        <v>0</v>
      </c>
      <c r="F113" s="150">
        <v>0</v>
      </c>
      <c r="G113" s="150">
        <v>0</v>
      </c>
      <c r="H113" s="150">
        <v>0</v>
      </c>
      <c r="I113" s="169">
        <v>0</v>
      </c>
      <c r="J113" s="169">
        <f>'[10]Other Assumptions'!J32</f>
        <v>0</v>
      </c>
      <c r="K113" s="169">
        <f>'[10]Other Assumptions'!K32</f>
        <v>0</v>
      </c>
      <c r="L113" s="169">
        <f>'[10]Other Assumptions'!L32</f>
        <v>0</v>
      </c>
      <c r="M113" s="169">
        <f>'[10]Other Assumptions'!M32</f>
        <v>0</v>
      </c>
      <c r="N113" s="169">
        <f>'[10]Other Assumptions'!N32</f>
        <v>0</v>
      </c>
      <c r="O113" s="150">
        <f>'[10]Other Assumptions'!O32</f>
        <v>0</v>
      </c>
      <c r="P113" s="150">
        <f>'[10]Other Assumptions'!P32</f>
        <v>0</v>
      </c>
      <c r="Q113" s="192">
        <f>'[10]Other Assumptions'!Q32</f>
        <v>0</v>
      </c>
    </row>
    <row r="114" spans="3:17" ht="15.5" x14ac:dyDescent="0.35">
      <c r="C114" s="24" t="s">
        <v>8</v>
      </c>
      <c r="D114" s="149">
        <v>0</v>
      </c>
      <c r="E114" s="150">
        <v>0</v>
      </c>
      <c r="F114" s="150">
        <v>0</v>
      </c>
      <c r="G114" s="150">
        <v>0</v>
      </c>
      <c r="H114" s="150">
        <v>0</v>
      </c>
      <c r="I114" s="169">
        <v>0</v>
      </c>
      <c r="J114" s="169">
        <f>'[10]Other Assumptions'!J33</f>
        <v>0</v>
      </c>
      <c r="K114" s="169">
        <f>'[10]Other Assumptions'!K33</f>
        <v>0</v>
      </c>
      <c r="L114" s="169">
        <f>'[10]Other Assumptions'!L33</f>
        <v>0</v>
      </c>
      <c r="M114" s="169">
        <f>'[10]Other Assumptions'!M33</f>
        <v>0</v>
      </c>
      <c r="N114" s="169">
        <f>'[10]Other Assumptions'!N33</f>
        <v>0</v>
      </c>
      <c r="O114" s="150">
        <f>'[10]Other Assumptions'!O33</f>
        <v>0</v>
      </c>
      <c r="P114" s="150">
        <f>'[10]Other Assumptions'!P33</f>
        <v>0</v>
      </c>
      <c r="Q114" s="192">
        <f>'[10]Other Assumptions'!Q33</f>
        <v>0</v>
      </c>
    </row>
    <row r="115" spans="3:17" ht="15.5" x14ac:dyDescent="0.35">
      <c r="C115" s="24" t="s">
        <v>9</v>
      </c>
      <c r="D115" s="149">
        <v>0</v>
      </c>
      <c r="E115" s="150">
        <v>0</v>
      </c>
      <c r="F115" s="150">
        <v>0</v>
      </c>
      <c r="G115" s="150">
        <v>0</v>
      </c>
      <c r="H115" s="150">
        <v>0</v>
      </c>
      <c r="I115" s="169">
        <v>0</v>
      </c>
      <c r="J115" s="169">
        <f>'[10]Other Assumptions'!J34</f>
        <v>0</v>
      </c>
      <c r="K115" s="169">
        <f>'[10]Other Assumptions'!K34</f>
        <v>0</v>
      </c>
      <c r="L115" s="169">
        <f>'[10]Other Assumptions'!L34</f>
        <v>0</v>
      </c>
      <c r="M115" s="169">
        <f>'[10]Other Assumptions'!M34</f>
        <v>0</v>
      </c>
      <c r="N115" s="169">
        <f>'[10]Other Assumptions'!N34</f>
        <v>0</v>
      </c>
      <c r="O115" s="150">
        <f>'[10]Other Assumptions'!O34</f>
        <v>0</v>
      </c>
      <c r="P115" s="150">
        <f>'[10]Other Assumptions'!P34</f>
        <v>0</v>
      </c>
      <c r="Q115" s="192">
        <f>'[10]Other Assumptions'!Q34</f>
        <v>0</v>
      </c>
    </row>
    <row r="116" spans="3:17" ht="15.5" x14ac:dyDescent="0.35">
      <c r="C116" s="24" t="s">
        <v>10</v>
      </c>
      <c r="D116" s="149">
        <v>0</v>
      </c>
      <c r="E116" s="150">
        <v>0</v>
      </c>
      <c r="F116" s="150">
        <v>0</v>
      </c>
      <c r="G116" s="150">
        <v>0</v>
      </c>
      <c r="H116" s="150">
        <v>0</v>
      </c>
      <c r="I116" s="169">
        <v>0</v>
      </c>
      <c r="J116" s="169">
        <f>'[10]Other Assumptions'!J35</f>
        <v>0</v>
      </c>
      <c r="K116" s="169">
        <f>'[10]Other Assumptions'!K35</f>
        <v>0</v>
      </c>
      <c r="L116" s="169">
        <f>'[10]Other Assumptions'!L35</f>
        <v>0</v>
      </c>
      <c r="M116" s="169">
        <f>'[10]Other Assumptions'!M35</f>
        <v>0</v>
      </c>
      <c r="N116" s="169">
        <f>'[10]Other Assumptions'!N35</f>
        <v>0</v>
      </c>
      <c r="O116" s="150">
        <f>'[10]Other Assumptions'!O35</f>
        <v>0</v>
      </c>
      <c r="P116" s="150">
        <f>'[10]Other Assumptions'!P35</f>
        <v>0</v>
      </c>
      <c r="Q116" s="192">
        <f>'[10]Other Assumptions'!Q35</f>
        <v>0</v>
      </c>
    </row>
    <row r="117" spans="3:17" ht="15.5" x14ac:dyDescent="0.35">
      <c r="C117" s="24" t="s">
        <v>11</v>
      </c>
      <c r="D117" s="149">
        <v>0</v>
      </c>
      <c r="E117" s="150">
        <v>0</v>
      </c>
      <c r="F117" s="150">
        <v>0</v>
      </c>
      <c r="G117" s="150">
        <v>0</v>
      </c>
      <c r="H117" s="150">
        <v>0</v>
      </c>
      <c r="I117" s="169">
        <v>0</v>
      </c>
      <c r="J117" s="169">
        <f>'[10]Other Assumptions'!J36</f>
        <v>0</v>
      </c>
      <c r="K117" s="169">
        <f>'[10]Other Assumptions'!K36</f>
        <v>0</v>
      </c>
      <c r="L117" s="169">
        <f>'[10]Other Assumptions'!L36</f>
        <v>0</v>
      </c>
      <c r="M117" s="169">
        <f>'[10]Other Assumptions'!M36</f>
        <v>0</v>
      </c>
      <c r="N117" s="169">
        <f>'[10]Other Assumptions'!N36</f>
        <v>0</v>
      </c>
      <c r="O117" s="150">
        <f>'[10]Other Assumptions'!O36</f>
        <v>0</v>
      </c>
      <c r="P117" s="150">
        <f>'[10]Other Assumptions'!P36</f>
        <v>0</v>
      </c>
      <c r="Q117" s="192">
        <f>'[10]Other Assumptions'!Q36</f>
        <v>0</v>
      </c>
    </row>
    <row r="118" spans="3:17" ht="15.5" x14ac:dyDescent="0.35">
      <c r="C118" s="24" t="s">
        <v>12</v>
      </c>
      <c r="D118" s="149">
        <v>0</v>
      </c>
      <c r="E118" s="150">
        <v>0</v>
      </c>
      <c r="F118" s="150">
        <v>0</v>
      </c>
      <c r="G118" s="150">
        <v>0</v>
      </c>
      <c r="H118" s="150">
        <v>0</v>
      </c>
      <c r="I118" s="169">
        <v>0</v>
      </c>
      <c r="J118" s="169">
        <f>'[10]Other Assumptions'!J37</f>
        <v>0</v>
      </c>
      <c r="K118" s="169">
        <f>'[10]Other Assumptions'!K37</f>
        <v>0</v>
      </c>
      <c r="L118" s="169">
        <f>'[10]Other Assumptions'!L37</f>
        <v>0</v>
      </c>
      <c r="M118" s="169">
        <f>'[10]Other Assumptions'!M37</f>
        <v>0</v>
      </c>
      <c r="N118" s="169">
        <f>'[10]Other Assumptions'!N37</f>
        <v>0</v>
      </c>
      <c r="O118" s="150">
        <f>'[10]Other Assumptions'!O37</f>
        <v>0</v>
      </c>
      <c r="P118" s="150">
        <f>'[10]Other Assumptions'!P37</f>
        <v>0</v>
      </c>
      <c r="Q118" s="192">
        <f>'[10]Other Assumptions'!Q37</f>
        <v>0</v>
      </c>
    </row>
    <row r="119" spans="3:17" ht="16" thickBot="1" x14ac:dyDescent="0.4">
      <c r="C119" s="25" t="s">
        <v>13</v>
      </c>
      <c r="D119" s="151">
        <v>0</v>
      </c>
      <c r="E119" s="152">
        <v>0</v>
      </c>
      <c r="F119" s="152">
        <v>0</v>
      </c>
      <c r="G119" s="152">
        <v>0</v>
      </c>
      <c r="H119" s="152">
        <v>0</v>
      </c>
      <c r="I119" s="179">
        <v>0</v>
      </c>
      <c r="J119" s="179">
        <f>'[10]Other Assumptions'!J38</f>
        <v>0</v>
      </c>
      <c r="K119" s="179">
        <f>'[10]Other Assumptions'!K38</f>
        <v>0</v>
      </c>
      <c r="L119" s="179">
        <f>'[10]Other Assumptions'!L38</f>
        <v>0</v>
      </c>
      <c r="M119" s="179">
        <f>'[10]Other Assumptions'!M38</f>
        <v>0</v>
      </c>
      <c r="N119" s="179">
        <f>'[10]Other Assumptions'!N38</f>
        <v>0</v>
      </c>
      <c r="O119" s="152">
        <f>'[10]Other Assumptions'!O38</f>
        <v>0</v>
      </c>
      <c r="P119" s="152">
        <f>'[10]Other Assumptions'!P38</f>
        <v>0</v>
      </c>
      <c r="Q119" s="193">
        <f>'[10]Other Assumptions'!Q38</f>
        <v>0</v>
      </c>
    </row>
    <row r="120" spans="3:17" ht="13" thickTop="1" x14ac:dyDescent="0.25"/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C2:Q222"/>
  <sheetViews>
    <sheetView zoomScale="90" zoomScaleNormal="90" workbookViewId="0">
      <selection activeCell="I25" sqref="I25"/>
    </sheetView>
  </sheetViews>
  <sheetFormatPr defaultRowHeight="12.5" x14ac:dyDescent="0.25"/>
  <cols>
    <col min="3" max="3" width="27.81640625" customWidth="1"/>
    <col min="4" max="17" width="17.81640625" customWidth="1"/>
  </cols>
  <sheetData>
    <row r="2" spans="3:15" ht="13" x14ac:dyDescent="0.3">
      <c r="C2" s="174" t="b">
        <v>1</v>
      </c>
      <c r="D2" t="s">
        <v>166</v>
      </c>
      <c r="K2" s="177">
        <f ca="1">1-'All Light Vehicles'!$I$63/'Light Vehicle Supporting Data'!$I$61</f>
        <v>-1.384582500127074E-3</v>
      </c>
    </row>
    <row r="3" spans="3:15" x14ac:dyDescent="0.25">
      <c r="D3" t="s">
        <v>153</v>
      </c>
    </row>
    <row r="4" spans="3:15" x14ac:dyDescent="0.25">
      <c r="D4" t="s">
        <v>154</v>
      </c>
    </row>
    <row r="5" spans="3:15" x14ac:dyDescent="0.25">
      <c r="D5" t="s">
        <v>155</v>
      </c>
    </row>
    <row r="7" spans="3:15" ht="13" thickBot="1" x14ac:dyDescent="0.3"/>
    <row r="8" spans="3:15" ht="29.25" customHeight="1" thickTop="1" x14ac:dyDescent="0.35">
      <c r="C8" s="218" t="s">
        <v>157</v>
      </c>
      <c r="D8" s="219"/>
      <c r="E8" s="219"/>
      <c r="F8" s="219"/>
      <c r="G8" s="33"/>
      <c r="H8" s="34"/>
      <c r="I8" s="35"/>
      <c r="J8" s="121"/>
      <c r="K8" s="121"/>
      <c r="L8" s="121"/>
    </row>
    <row r="9" spans="3:15" ht="13.5" thickBot="1" x14ac:dyDescent="0.35">
      <c r="C9" s="36"/>
      <c r="D9" s="37" t="s">
        <v>25</v>
      </c>
      <c r="E9" s="37" t="s">
        <v>37</v>
      </c>
      <c r="F9" s="37" t="s">
        <v>38</v>
      </c>
      <c r="G9" s="37" t="s">
        <v>177</v>
      </c>
      <c r="H9" s="37" t="s">
        <v>178</v>
      </c>
      <c r="I9" s="37" t="s">
        <v>26</v>
      </c>
      <c r="J9" s="175"/>
      <c r="K9" s="65"/>
      <c r="L9" s="65"/>
      <c r="M9" s="65"/>
      <c r="N9" s="65"/>
      <c r="O9" s="65"/>
    </row>
    <row r="10" spans="3:15" ht="14" thickTop="1" thickBot="1" x14ac:dyDescent="0.35">
      <c r="C10" s="18"/>
      <c r="D10" s="65" t="s">
        <v>39</v>
      </c>
      <c r="E10" s="65" t="s">
        <v>39</v>
      </c>
      <c r="F10" s="65" t="s">
        <v>39</v>
      </c>
      <c r="G10" s="65" t="s">
        <v>39</v>
      </c>
      <c r="H10" s="65" t="s">
        <v>39</v>
      </c>
      <c r="I10" s="65" t="s">
        <v>39</v>
      </c>
      <c r="J10" s="175"/>
      <c r="K10" s="65"/>
      <c r="L10" s="65"/>
      <c r="M10" s="65"/>
      <c r="N10" s="65"/>
      <c r="O10" s="65"/>
    </row>
    <row r="11" spans="3:15" ht="16" thickTop="1" x14ac:dyDescent="0.35">
      <c r="C11" s="27" t="s">
        <v>0</v>
      </c>
      <c r="D11" s="215"/>
      <c r="E11" s="154"/>
      <c r="F11" s="154"/>
      <c r="G11" s="53"/>
      <c r="H11" s="53"/>
      <c r="I11" s="68">
        <f ca="1">1-'All Light Vehicles'!I49/'Light Vehicle Supporting Data'!I47</f>
        <v>-0.38902249852400561</v>
      </c>
      <c r="J11" s="55"/>
      <c r="K11" s="56"/>
      <c r="L11" s="56"/>
      <c r="M11" s="56"/>
      <c r="N11" s="56"/>
      <c r="O11" s="56"/>
    </row>
    <row r="12" spans="3:15" ht="15.5" x14ac:dyDescent="0.35">
      <c r="C12" s="24" t="s">
        <v>1</v>
      </c>
      <c r="D12" s="211"/>
      <c r="E12" s="128"/>
      <c r="F12" s="128"/>
      <c r="G12" s="56"/>
      <c r="H12" s="56"/>
      <c r="I12" s="150">
        <f ca="1">1-'All Light Vehicles'!I50/'Light Vehicle Supporting Data'!I48</f>
        <v>0.1114276135809259</v>
      </c>
      <c r="J12" s="55"/>
      <c r="K12" s="56"/>
      <c r="L12" s="56"/>
      <c r="M12" s="56"/>
      <c r="N12" s="56"/>
      <c r="O12" s="56"/>
    </row>
    <row r="13" spans="3:15" ht="15.5" x14ac:dyDescent="0.35">
      <c r="C13" s="24" t="s">
        <v>2</v>
      </c>
      <c r="D13" s="211"/>
      <c r="E13" s="128"/>
      <c r="F13" s="128"/>
      <c r="G13" s="56"/>
      <c r="H13" s="56"/>
      <c r="I13" s="150">
        <f ca="1">1-'All Light Vehicles'!I51/'Light Vehicle Supporting Data'!I49</f>
        <v>-0.12027364115411099</v>
      </c>
      <c r="J13" s="55"/>
      <c r="K13" s="56"/>
      <c r="L13" s="56"/>
      <c r="M13" s="56"/>
      <c r="N13" s="56"/>
      <c r="O13" s="56"/>
    </row>
    <row r="14" spans="3:15" ht="15.5" x14ac:dyDescent="0.35">
      <c r="C14" s="24" t="s">
        <v>3</v>
      </c>
      <c r="D14" s="211"/>
      <c r="E14" s="128"/>
      <c r="F14" s="128"/>
      <c r="G14" s="56"/>
      <c r="H14" s="56"/>
      <c r="I14" s="150">
        <f ca="1">1-'All Light Vehicles'!I52/'Light Vehicle Supporting Data'!I50</f>
        <v>-8.7769747573455126E-2</v>
      </c>
      <c r="J14" s="55"/>
      <c r="K14" s="56"/>
      <c r="L14" s="56"/>
      <c r="M14" s="56"/>
      <c r="N14" s="56"/>
      <c r="O14" s="56"/>
    </row>
    <row r="15" spans="3:15" ht="15.5" x14ac:dyDescent="0.35">
      <c r="C15" s="24" t="s">
        <v>4</v>
      </c>
      <c r="D15" s="211"/>
      <c r="E15" s="128"/>
      <c r="F15" s="128"/>
      <c r="G15" s="56"/>
      <c r="H15" s="56"/>
      <c r="I15" s="150">
        <f ca="1">1-'All Light Vehicles'!I53/'Light Vehicle Supporting Data'!I51</f>
        <v>-0.19156646726134108</v>
      </c>
      <c r="J15" s="55"/>
      <c r="K15" s="56"/>
      <c r="L15" s="56"/>
      <c r="M15" s="56"/>
      <c r="N15" s="56"/>
      <c r="O15" s="56"/>
    </row>
    <row r="16" spans="3:15" ht="15.5" x14ac:dyDescent="0.35">
      <c r="C16" s="24" t="s">
        <v>5</v>
      </c>
      <c r="D16" s="211"/>
      <c r="E16" s="128"/>
      <c r="F16" s="128"/>
      <c r="G16" s="56"/>
      <c r="H16" s="56"/>
      <c r="I16" s="150">
        <f ca="1">1-'All Light Vehicles'!I54/'Light Vehicle Supporting Data'!I52</f>
        <v>-0.11122213966664396</v>
      </c>
      <c r="J16" s="55"/>
      <c r="K16" s="56"/>
      <c r="L16" s="56"/>
      <c r="M16" s="56"/>
      <c r="N16" s="56"/>
      <c r="O16" s="56"/>
    </row>
    <row r="17" spans="3:17" ht="15.5" x14ac:dyDescent="0.35">
      <c r="C17" s="24" t="s">
        <v>6</v>
      </c>
      <c r="D17" s="211"/>
      <c r="E17" s="128"/>
      <c r="F17" s="128"/>
      <c r="G17" s="56"/>
      <c r="H17" s="56"/>
      <c r="I17" s="150">
        <f ca="1">1-'All Light Vehicles'!I55/'Light Vehicle Supporting Data'!I53</f>
        <v>0.14014058725710443</v>
      </c>
      <c r="J17" s="55"/>
      <c r="K17" s="56"/>
      <c r="L17" s="56"/>
      <c r="M17" s="56"/>
      <c r="N17" s="56"/>
      <c r="O17" s="56"/>
    </row>
    <row r="18" spans="3:17" ht="15.5" x14ac:dyDescent="0.35">
      <c r="C18" s="24" t="s">
        <v>7</v>
      </c>
      <c r="D18" s="211"/>
      <c r="E18" s="128"/>
      <c r="F18" s="128"/>
      <c r="G18" s="56"/>
      <c r="H18" s="56"/>
      <c r="I18" s="150">
        <f ca="1">1-'All Light Vehicles'!I56/'Light Vehicle Supporting Data'!I54</f>
        <v>-5.6492580739602172E-3</v>
      </c>
      <c r="J18" s="55"/>
      <c r="K18" s="56"/>
      <c r="L18" s="56"/>
      <c r="M18" s="56"/>
      <c r="N18" s="56"/>
      <c r="O18" s="56"/>
    </row>
    <row r="19" spans="3:17" ht="15.5" x14ac:dyDescent="0.35">
      <c r="C19" s="24" t="s">
        <v>8</v>
      </c>
      <c r="D19" s="211"/>
      <c r="E19" s="128"/>
      <c r="F19" s="128"/>
      <c r="G19" s="56"/>
      <c r="H19" s="56"/>
      <c r="I19" s="150">
        <f ca="1">1-'All Light Vehicles'!I57/'Light Vehicle Supporting Data'!I55</f>
        <v>0.26553423428988321</v>
      </c>
      <c r="J19" s="55"/>
      <c r="K19" s="56"/>
      <c r="L19" s="56"/>
      <c r="M19" s="56"/>
      <c r="N19" s="56"/>
      <c r="O19" s="56"/>
    </row>
    <row r="20" spans="3:17" ht="15.5" x14ac:dyDescent="0.35">
      <c r="C20" s="24" t="s">
        <v>9</v>
      </c>
      <c r="D20" s="211"/>
      <c r="E20" s="128"/>
      <c r="F20" s="128"/>
      <c r="G20" s="56"/>
      <c r="H20" s="56"/>
      <c r="I20" s="150">
        <f ca="1">1-'All Light Vehicles'!I58/'Light Vehicle Supporting Data'!I56</f>
        <v>-3.2668709193715451E-2</v>
      </c>
      <c r="J20" s="55"/>
      <c r="K20" s="56"/>
      <c r="L20" s="56"/>
      <c r="M20" s="56"/>
      <c r="N20" s="56"/>
      <c r="O20" s="56"/>
    </row>
    <row r="21" spans="3:17" ht="15.5" x14ac:dyDescent="0.35">
      <c r="C21" s="24" t="s">
        <v>10</v>
      </c>
      <c r="D21" s="211"/>
      <c r="E21" s="128"/>
      <c r="F21" s="128"/>
      <c r="G21" s="56"/>
      <c r="H21" s="56"/>
      <c r="I21" s="150">
        <f ca="1">1-'All Light Vehicles'!I59/'Light Vehicle Supporting Data'!I57</f>
        <v>-0.87182105020114031</v>
      </c>
      <c r="J21" s="55"/>
      <c r="K21" s="56"/>
      <c r="L21" s="56"/>
      <c r="M21" s="56"/>
      <c r="N21" s="56"/>
      <c r="O21" s="56"/>
    </row>
    <row r="22" spans="3:17" ht="15.5" x14ac:dyDescent="0.35">
      <c r="C22" s="24" t="s">
        <v>11</v>
      </c>
      <c r="D22" s="211"/>
      <c r="E22" s="128"/>
      <c r="F22" s="128"/>
      <c r="G22" s="56"/>
      <c r="H22" s="56"/>
      <c r="I22" s="150">
        <f ca="1">1-'All Light Vehicles'!I60/'Light Vehicle Supporting Data'!I58</f>
        <v>-2.5466313022232345E-2</v>
      </c>
      <c r="J22" s="55"/>
      <c r="K22" s="56"/>
      <c r="L22" s="56"/>
      <c r="M22" s="56"/>
      <c r="N22" s="56"/>
      <c r="O22" s="56"/>
    </row>
    <row r="23" spans="3:17" ht="15.5" x14ac:dyDescent="0.35">
      <c r="C23" s="24" t="s">
        <v>12</v>
      </c>
      <c r="D23" s="211"/>
      <c r="E23" s="128"/>
      <c r="F23" s="128"/>
      <c r="G23" s="56"/>
      <c r="H23" s="56"/>
      <c r="I23" s="150">
        <f ca="1">1-'All Light Vehicles'!I61/'Light Vehicle Supporting Data'!I59</f>
        <v>-0.3849078034261586</v>
      </c>
      <c r="J23" s="55"/>
      <c r="K23" s="56"/>
      <c r="L23" s="56"/>
      <c r="M23" s="56"/>
      <c r="N23" s="56"/>
      <c r="O23" s="56"/>
    </row>
    <row r="24" spans="3:17" ht="16" thickBot="1" x14ac:dyDescent="0.4">
      <c r="C24" s="25" t="s">
        <v>13</v>
      </c>
      <c r="D24" s="212"/>
      <c r="E24" s="170"/>
      <c r="F24" s="170"/>
      <c r="G24" s="59"/>
      <c r="H24" s="59"/>
      <c r="I24" s="152">
        <f ca="1">1-'All Light Vehicles'!I62/'Light Vehicle Supporting Data'!I60</f>
        <v>-0.31872065670019523</v>
      </c>
      <c r="J24" s="55"/>
      <c r="K24" s="56"/>
      <c r="L24" s="56"/>
      <c r="M24" s="56"/>
      <c r="N24" s="56"/>
      <c r="O24" s="56"/>
    </row>
    <row r="25" spans="3:17" ht="16.5" thickTop="1" thickBot="1" x14ac:dyDescent="0.4">
      <c r="C25" s="64" t="s">
        <v>24</v>
      </c>
      <c r="D25" s="213"/>
      <c r="E25" s="213"/>
      <c r="F25" s="213"/>
      <c r="G25" s="62"/>
      <c r="H25" s="62"/>
      <c r="I25" s="214">
        <f ca="1">1-'All Light Vehicles'!I63/'Light Vehicle Supporting Data'!I61</f>
        <v>-1.384582500127074E-3</v>
      </c>
      <c r="J25" s="55"/>
      <c r="K25" s="56"/>
      <c r="L25" s="56"/>
      <c r="M25" s="56"/>
      <c r="N25" s="56"/>
      <c r="O25" s="56"/>
    </row>
    <row r="26" spans="3:17" ht="16" thickTop="1" x14ac:dyDescent="0.35">
      <c r="C26" s="154"/>
      <c r="D26" s="129"/>
      <c r="E26" s="129"/>
      <c r="F26" s="129"/>
      <c r="G26" s="167"/>
      <c r="H26" s="167"/>
      <c r="I26" s="167"/>
      <c r="J26" s="167"/>
      <c r="K26" s="167"/>
      <c r="L26" s="167"/>
    </row>
    <row r="27" spans="3:17" ht="15.5" x14ac:dyDescent="0.35">
      <c r="C27" s="128"/>
      <c r="D27" s="56"/>
      <c r="E27" s="56"/>
      <c r="F27" s="56"/>
      <c r="G27" s="56"/>
      <c r="H27" s="56"/>
      <c r="I27" s="56"/>
      <c r="J27" s="56"/>
      <c r="K27" s="56"/>
      <c r="L27" s="56"/>
    </row>
    <row r="28" spans="3:17" ht="16" thickBot="1" x14ac:dyDescent="0.4">
      <c r="C28" s="128"/>
      <c r="D28" s="56"/>
      <c r="E28" s="56"/>
      <c r="F28" s="56"/>
      <c r="G28" s="56"/>
      <c r="H28" s="56"/>
      <c r="I28" s="56"/>
      <c r="J28" s="56"/>
      <c r="K28" s="56"/>
      <c r="L28" s="56"/>
    </row>
    <row r="29" spans="3:17" ht="16" thickTop="1" x14ac:dyDescent="0.35">
      <c r="C29" s="32" t="s">
        <v>109</v>
      </c>
      <c r="D29" s="33"/>
      <c r="E29" s="33"/>
      <c r="F29" s="33"/>
      <c r="G29" s="33"/>
      <c r="H29" s="33"/>
      <c r="I29" s="33"/>
      <c r="J29" s="34"/>
      <c r="K29" s="34"/>
      <c r="L29" s="34"/>
      <c r="M29" s="34"/>
      <c r="N29" s="34"/>
      <c r="O29" s="34"/>
      <c r="P29" s="34"/>
      <c r="Q29" s="35"/>
    </row>
    <row r="30" spans="3:17" ht="13.5" thickBot="1" x14ac:dyDescent="0.35">
      <c r="C30" s="36"/>
      <c r="D30" s="37" t="s">
        <v>25</v>
      </c>
      <c r="E30" s="37" t="s">
        <v>37</v>
      </c>
      <c r="F30" s="37" t="s">
        <v>38</v>
      </c>
      <c r="G30" s="37" t="s">
        <v>177</v>
      </c>
      <c r="H30" s="37" t="s">
        <v>178</v>
      </c>
      <c r="I30" s="37" t="s">
        <v>26</v>
      </c>
      <c r="J30" s="37" t="s">
        <v>27</v>
      </c>
      <c r="K30" s="37" t="s">
        <v>28</v>
      </c>
      <c r="L30" s="37" t="s">
        <v>29</v>
      </c>
      <c r="M30" s="37" t="s">
        <v>30</v>
      </c>
      <c r="N30" s="37" t="s">
        <v>31</v>
      </c>
      <c r="O30" s="37" t="s">
        <v>174</v>
      </c>
      <c r="P30" s="37" t="s">
        <v>175</v>
      </c>
      <c r="Q30" s="38" t="s">
        <v>176</v>
      </c>
    </row>
    <row r="31" spans="3:17" ht="14" thickTop="1" thickBot="1" x14ac:dyDescent="0.35">
      <c r="C31" s="18"/>
      <c r="D31" s="65" t="s">
        <v>39</v>
      </c>
      <c r="E31" s="65" t="s">
        <v>39</v>
      </c>
      <c r="F31" s="65" t="s">
        <v>39</v>
      </c>
      <c r="G31" s="65" t="s">
        <v>39</v>
      </c>
      <c r="H31" s="65" t="s">
        <v>39</v>
      </c>
      <c r="I31" s="65" t="s">
        <v>32</v>
      </c>
      <c r="J31" s="65" t="s">
        <v>32</v>
      </c>
      <c r="K31" s="65" t="s">
        <v>32</v>
      </c>
      <c r="L31" s="65" t="s">
        <v>32</v>
      </c>
      <c r="M31" s="65" t="s">
        <v>32</v>
      </c>
      <c r="N31" s="65" t="s">
        <v>32</v>
      </c>
      <c r="O31" s="65" t="s">
        <v>32</v>
      </c>
      <c r="P31" s="65" t="s">
        <v>32</v>
      </c>
      <c r="Q31" s="66" t="s">
        <v>32</v>
      </c>
    </row>
    <row r="32" spans="3:17" ht="16" thickTop="1" x14ac:dyDescent="0.35">
      <c r="C32" s="27" t="s">
        <v>0</v>
      </c>
      <c r="D32" s="52">
        <f ca="1">'[8]Total Distance Tables'!$B$9</f>
        <v>0.75976041549999995</v>
      </c>
      <c r="E32" s="53">
        <f t="shared" ref="E32:E45" ca="1" si="0">D32*4/5 + I32/5</f>
        <v>0.78227748950699305</v>
      </c>
      <c r="F32" s="53">
        <f t="shared" ref="F32:F45" ca="1" si="1">D32*3/5+I32*2/5</f>
        <v>0.80479456351398615</v>
      </c>
      <c r="G32" s="53">
        <f ca="1">D32*2/5+I32*3/5</f>
        <v>0.82731163752097925</v>
      </c>
      <c r="H32" s="53">
        <f ca="1">D32*1/5+I32*4/5</f>
        <v>0.84982871152797235</v>
      </c>
      <c r="I32" s="53">
        <f ca="1">'[8]Total Distance Tables'!C9</f>
        <v>0.87234578553496545</v>
      </c>
      <c r="J32" s="53">
        <f ca="1">'[8]Total Distance Tables'!D9</f>
        <v>0.96408812070281047</v>
      </c>
      <c r="K32" s="53">
        <f ca="1">'[8]Total Distance Tables'!E9</f>
        <v>198.3323903281572</v>
      </c>
      <c r="L32" s="53">
        <f ca="1">'[8]Total Distance Tables'!F9</f>
        <v>406.62839137038821</v>
      </c>
      <c r="M32" s="53">
        <f ca="1">'[8]Total Distance Tables'!G9</f>
        <v>619.68250118995832</v>
      </c>
      <c r="N32" s="53">
        <f ca="1">'[8]Total Distance Tables'!H9</f>
        <v>834.68871089915433</v>
      </c>
      <c r="O32" s="53">
        <f ca="1">'[8]Total Distance Tables'!I9</f>
        <v>1058.3129497112775</v>
      </c>
      <c r="P32" s="53">
        <f ca="1">'[8]Total Distance Tables'!J9</f>
        <v>1284.7225587737782</v>
      </c>
      <c r="Q32" s="54">
        <f ca="1">'[8]Total Distance Tables'!K9</f>
        <v>1513.6999643116903</v>
      </c>
    </row>
    <row r="33" spans="3:17" ht="15.5" x14ac:dyDescent="0.35">
      <c r="C33" s="24" t="s">
        <v>1</v>
      </c>
      <c r="D33" s="55">
        <f ca="1">'[8]Total Distance Tables'!$B$20</f>
        <v>41.157157814999998</v>
      </c>
      <c r="E33" s="56">
        <f t="shared" ca="1" si="0"/>
        <v>42.610351711027533</v>
      </c>
      <c r="F33" s="56">
        <f t="shared" ca="1" si="1"/>
        <v>44.063545607055076</v>
      </c>
      <c r="G33" s="56">
        <f t="shared" ref="G33:G45" ca="1" si="2">D33*2/5+I33*3/5</f>
        <v>45.516739503082604</v>
      </c>
      <c r="H33" s="56">
        <f t="shared" ref="H33:H45" ca="1" si="3">D33*1/5+I33*4/5</f>
        <v>46.969933399110154</v>
      </c>
      <c r="I33" s="56">
        <f ca="1">'[8]Total Distance Tables'!C20</f>
        <v>48.423127295137689</v>
      </c>
      <c r="J33" s="56">
        <f ca="1">'[8]Total Distance Tables'!D20</f>
        <v>54.652826859218308</v>
      </c>
      <c r="K33" s="56">
        <f ca="1">'[8]Total Distance Tables'!E20</f>
        <v>1777.7898430699888</v>
      </c>
      <c r="L33" s="56">
        <f ca="1">'[8]Total Distance Tables'!F20</f>
        <v>3637.876403029667</v>
      </c>
      <c r="M33" s="56">
        <f ca="1">'[8]Total Distance Tables'!G20</f>
        <v>5582.3561495247886</v>
      </c>
      <c r="N33" s="56">
        <f ca="1">'[8]Total Distance Tables'!H20</f>
        <v>7596.2060918576226</v>
      </c>
      <c r="O33" s="56">
        <f ca="1">'[8]Total Distance Tables'!I20</f>
        <v>9741.8503366384757</v>
      </c>
      <c r="P33" s="56">
        <f ca="1">'[8]Total Distance Tables'!J20</f>
        <v>11961.675461894483</v>
      </c>
      <c r="Q33" s="57">
        <f ca="1">'[8]Total Distance Tables'!K20</f>
        <v>14247.399509209024</v>
      </c>
    </row>
    <row r="34" spans="3:17" ht="15.5" x14ac:dyDescent="0.35">
      <c r="C34" s="24" t="s">
        <v>2</v>
      </c>
      <c r="D34" s="55">
        <f ca="1">'[8]Total Distance Tables'!$B$31</f>
        <v>2.4426175743999998</v>
      </c>
      <c r="E34" s="56">
        <f t="shared" ca="1" si="0"/>
        <v>2.521459096882527</v>
      </c>
      <c r="F34" s="56">
        <f t="shared" ca="1" si="1"/>
        <v>2.6003006193650546</v>
      </c>
      <c r="G34" s="56">
        <f t="shared" ca="1" si="2"/>
        <v>2.6791421418475823</v>
      </c>
      <c r="H34" s="56">
        <f t="shared" ca="1" si="3"/>
        <v>2.7579836643301094</v>
      </c>
      <c r="I34" s="56">
        <f ca="1">'[8]Total Distance Tables'!C31</f>
        <v>2.8368251868126371</v>
      </c>
      <c r="J34" s="56">
        <f ca="1">'[8]Total Distance Tables'!D31</f>
        <v>3.143816927924282</v>
      </c>
      <c r="K34" s="56">
        <f ca="1">'[8]Total Distance Tables'!E31</f>
        <v>682.77014126176925</v>
      </c>
      <c r="L34" s="56">
        <f ca="1">'[8]Total Distance Tables'!F31</f>
        <v>1405.0354774772509</v>
      </c>
      <c r="M34" s="56">
        <f ca="1">'[8]Total Distance Tables'!G31</f>
        <v>2148.0397011416862</v>
      </c>
      <c r="N34" s="56">
        <f ca="1">'[8]Total Distance Tables'!H31</f>
        <v>2904.509622121288</v>
      </c>
      <c r="O34" s="56">
        <f ca="1">'[8]Total Distance Tables'!I31</f>
        <v>3693.277116868242</v>
      </c>
      <c r="P34" s="56">
        <f ca="1">'[8]Total Distance Tables'!J31</f>
        <v>4494.1583319491392</v>
      </c>
      <c r="Q34" s="57">
        <f ca="1">'[8]Total Distance Tables'!K31</f>
        <v>5305.2774054699139</v>
      </c>
    </row>
    <row r="35" spans="3:17" ht="15.5" x14ac:dyDescent="0.35">
      <c r="C35" s="24" t="s">
        <v>3</v>
      </c>
      <c r="D35" s="55">
        <f ca="1">'[8]Total Distance Tables'!$B$42</f>
        <v>0.98369936449999995</v>
      </c>
      <c r="E35" s="56">
        <f t="shared" ca="1" si="0"/>
        <v>1.0120341730227331</v>
      </c>
      <c r="F35" s="56">
        <f t="shared" ca="1" si="1"/>
        <v>1.0403689815454662</v>
      </c>
      <c r="G35" s="56">
        <f t="shared" ca="1" si="2"/>
        <v>1.0687037900681995</v>
      </c>
      <c r="H35" s="56">
        <f t="shared" ca="1" si="3"/>
        <v>1.0970385985909328</v>
      </c>
      <c r="I35" s="56">
        <f ca="1">'[8]Total Distance Tables'!C42</f>
        <v>1.1253734071136658</v>
      </c>
      <c r="J35" s="56">
        <f ca="1">'[8]Total Distance Tables'!D42</f>
        <v>1.2359941902045979</v>
      </c>
      <c r="K35" s="56">
        <f ca="1">'[8]Total Distance Tables'!E42</f>
        <v>389.53478993193681</v>
      </c>
      <c r="L35" s="56">
        <f ca="1">'[8]Total Distance Tables'!F42</f>
        <v>795.37415254641871</v>
      </c>
      <c r="M35" s="56">
        <f ca="1">'[8]Total Distance Tables'!G42</f>
        <v>1206.0189547279456</v>
      </c>
      <c r="N35" s="56">
        <f ca="1">'[8]Total Distance Tables'!H42</f>
        <v>1617.4334283891324</v>
      </c>
      <c r="O35" s="56">
        <f ca="1">'[8]Total Distance Tables'!I42</f>
        <v>2041.7360181480715</v>
      </c>
      <c r="P35" s="56">
        <f ca="1">'[8]Total Distance Tables'!J42</f>
        <v>2466.2309231498502</v>
      </c>
      <c r="Q35" s="57">
        <f ca="1">'[8]Total Distance Tables'!K42</f>
        <v>2889.7432234679832</v>
      </c>
    </row>
    <row r="36" spans="3:17" ht="15.5" x14ac:dyDescent="0.35">
      <c r="C36" s="24" t="s">
        <v>4</v>
      </c>
      <c r="D36" s="55">
        <f ca="1">'[8]Total Distance Tables'!$B$53</f>
        <v>0.1174510768</v>
      </c>
      <c r="E36" s="56">
        <f t="shared" ca="1" si="0"/>
        <v>0.11965503343177256</v>
      </c>
      <c r="F36" s="56">
        <f t="shared" ca="1" si="1"/>
        <v>0.12185899006354511</v>
      </c>
      <c r="G36" s="56">
        <f t="shared" ca="1" si="2"/>
        <v>0.12406294669531764</v>
      </c>
      <c r="H36" s="56">
        <f t="shared" ca="1" si="3"/>
        <v>0.1262669033270902</v>
      </c>
      <c r="I36" s="56">
        <f ca="1">'[8]Total Distance Tables'!C53</f>
        <v>0.12847085995886276</v>
      </c>
      <c r="J36" s="56">
        <f ca="1">'[8]Total Distance Tables'!D53</f>
        <v>0.13757657370376708</v>
      </c>
      <c r="K36" s="56">
        <f ca="1">'[8]Total Distance Tables'!E53</f>
        <v>44.033305411135366</v>
      </c>
      <c r="L36" s="56">
        <f ca="1">'[8]Total Distance Tables'!F53</f>
        <v>88.155261637012757</v>
      </c>
      <c r="M36" s="56">
        <f ca="1">'[8]Total Distance Tables'!G53</f>
        <v>130.96045694234172</v>
      </c>
      <c r="N36" s="56">
        <f ca="1">'[8]Total Distance Tables'!H53</f>
        <v>172.1921757373708</v>
      </c>
      <c r="O36" s="56">
        <f ca="1">'[8]Total Distance Tables'!I53</f>
        <v>213.34885037737527</v>
      </c>
      <c r="P36" s="56">
        <f ca="1">'[8]Total Distance Tables'!J53</f>
        <v>252.97813431572817</v>
      </c>
      <c r="Q36" s="57">
        <f ca="1">'[8]Total Distance Tables'!K53</f>
        <v>291.02109025392423</v>
      </c>
    </row>
    <row r="37" spans="3:17" ht="15.5" x14ac:dyDescent="0.35">
      <c r="C37" s="24" t="s">
        <v>5</v>
      </c>
      <c r="D37" s="55">
        <f ca="1">'[8]Total Distance Tables'!$B$64</f>
        <v>1.7589425135000001</v>
      </c>
      <c r="E37" s="56">
        <f t="shared" ca="1" si="0"/>
        <v>1.8065594061548518</v>
      </c>
      <c r="F37" s="56">
        <f t="shared" ca="1" si="1"/>
        <v>1.8541762988097035</v>
      </c>
      <c r="G37" s="56">
        <f t="shared" ca="1" si="2"/>
        <v>1.9017931914645554</v>
      </c>
      <c r="H37" s="56">
        <f t="shared" ca="1" si="3"/>
        <v>1.9494100841194073</v>
      </c>
      <c r="I37" s="56">
        <f ca="1">'[8]Total Distance Tables'!C64</f>
        <v>1.997026976774259</v>
      </c>
      <c r="J37" s="56">
        <f ca="1">'[8]Total Distance Tables'!D64</f>
        <v>2.1921375100873339</v>
      </c>
      <c r="K37" s="56">
        <f ca="1">'[8]Total Distance Tables'!E64</f>
        <v>187.36192818321103</v>
      </c>
      <c r="L37" s="56">
        <f ca="1">'[8]Total Distance Tables'!F64</f>
        <v>381.14593867463276</v>
      </c>
      <c r="M37" s="56">
        <f ca="1">'[8]Total Distance Tables'!G64</f>
        <v>577.89843752660852</v>
      </c>
      <c r="N37" s="56">
        <f ca="1">'[8]Total Distance Tables'!H64</f>
        <v>776.42090113509414</v>
      </c>
      <c r="O37" s="56">
        <f ca="1">'[8]Total Distance Tables'!I64</f>
        <v>982.68570092118603</v>
      </c>
      <c r="P37" s="56">
        <f ca="1">'[8]Total Distance Tables'!J64</f>
        <v>1191.2189355404737</v>
      </c>
      <c r="Q37" s="57">
        <f ca="1">'[8]Total Distance Tables'!K64</f>
        <v>1401.9430841072719</v>
      </c>
    </row>
    <row r="38" spans="3:17" ht="15.5" x14ac:dyDescent="0.35">
      <c r="C38" s="24" t="s">
        <v>6</v>
      </c>
      <c r="D38" s="55">
        <f ca="1">'[8]Total Distance Tables'!$B$75</f>
        <v>1.1335038904000001</v>
      </c>
      <c r="E38" s="56">
        <f t="shared" ca="1" si="0"/>
        <v>1.1665175916700898</v>
      </c>
      <c r="F38" s="56">
        <f t="shared" ca="1" si="1"/>
        <v>1.1995312929401796</v>
      </c>
      <c r="G38" s="56">
        <f t="shared" ca="1" si="2"/>
        <v>1.2325449942102695</v>
      </c>
      <c r="H38" s="56">
        <f t="shared" ca="1" si="3"/>
        <v>1.2655586954803593</v>
      </c>
      <c r="I38" s="56">
        <f ca="1">'[8]Total Distance Tables'!C75</f>
        <v>1.298572396750449</v>
      </c>
      <c r="J38" s="56">
        <f ca="1">'[8]Total Distance Tables'!D75</f>
        <v>1.4374520954917469</v>
      </c>
      <c r="K38" s="56">
        <f ca="1">'[8]Total Distance Tables'!E75</f>
        <v>188.42483090678041</v>
      </c>
      <c r="L38" s="56">
        <f ca="1">'[8]Total Distance Tables'!F75</f>
        <v>387.1493691090219</v>
      </c>
      <c r="M38" s="56">
        <f ca="1">'[8]Total Distance Tables'!G75</f>
        <v>592.40204883308115</v>
      </c>
      <c r="N38" s="56">
        <f ca="1">'[8]Total Distance Tables'!H75</f>
        <v>802.8742525085637</v>
      </c>
      <c r="O38" s="56">
        <f ca="1">'[8]Total Distance Tables'!I75</f>
        <v>1025.0076826746938</v>
      </c>
      <c r="P38" s="56">
        <f ca="1">'[8]Total Distance Tables'!J75</f>
        <v>1252.9942423339937</v>
      </c>
      <c r="Q38" s="57">
        <f ca="1">'[8]Total Distance Tables'!K75</f>
        <v>1486.7214193513876</v>
      </c>
    </row>
    <row r="39" spans="3:17" ht="15.5" x14ac:dyDescent="0.35">
      <c r="C39" s="24" t="s">
        <v>7</v>
      </c>
      <c r="D39" s="55">
        <f ca="1">'[8]Total Distance Tables'!$B$86</f>
        <v>5.6344181790999999</v>
      </c>
      <c r="E39" s="56">
        <f t="shared" ca="1" si="0"/>
        <v>5.7732240936823569</v>
      </c>
      <c r="F39" s="56">
        <f t="shared" ca="1" si="1"/>
        <v>5.9120300082647148</v>
      </c>
      <c r="G39" s="56">
        <f t="shared" ca="1" si="2"/>
        <v>6.0508359228470709</v>
      </c>
      <c r="H39" s="56">
        <f t="shared" ca="1" si="3"/>
        <v>6.1896418374294289</v>
      </c>
      <c r="I39" s="56">
        <f ca="1">'[8]Total Distance Tables'!C86</f>
        <v>6.328447752011785</v>
      </c>
      <c r="J39" s="56">
        <f ca="1">'[8]Total Distance Tables'!D86</f>
        <v>6.862999375423505</v>
      </c>
      <c r="K39" s="56">
        <f ca="1">'[8]Total Distance Tables'!E86</f>
        <v>304.99367117689229</v>
      </c>
      <c r="L39" s="56">
        <f ca="1">'[8]Total Distance Tables'!F86</f>
        <v>611.38037054709582</v>
      </c>
      <c r="M39" s="56">
        <f ca="1">'[8]Total Distance Tables'!G86</f>
        <v>916.52744193070396</v>
      </c>
      <c r="N39" s="56">
        <f ca="1">'[8]Total Distance Tables'!H86</f>
        <v>1217.1689895327086</v>
      </c>
      <c r="O39" s="56">
        <f ca="1">'[8]Total Distance Tables'!I86</f>
        <v>1522.2235539513629</v>
      </c>
      <c r="P39" s="56">
        <f ca="1">'[8]Total Distance Tables'!J86</f>
        <v>1823.6153765756883</v>
      </c>
      <c r="Q39" s="57">
        <f ca="1">'[8]Total Distance Tables'!K86</f>
        <v>2121.2151695955176</v>
      </c>
    </row>
    <row r="40" spans="3:17" ht="15.5" x14ac:dyDescent="0.35">
      <c r="C40" s="24" t="s">
        <v>8</v>
      </c>
      <c r="D40" s="55">
        <f ca="1">'[8]Total Distance Tables'!$B$97</f>
        <v>19.359252680000001</v>
      </c>
      <c r="E40" s="56">
        <f t="shared" ca="1" si="0"/>
        <v>19.947755612676914</v>
      </c>
      <c r="F40" s="56">
        <f t="shared" ca="1" si="1"/>
        <v>20.536258545353824</v>
      </c>
      <c r="G40" s="56">
        <f t="shared" ca="1" si="2"/>
        <v>21.124761478030734</v>
      </c>
      <c r="H40" s="56">
        <f t="shared" ca="1" si="3"/>
        <v>21.713264410707648</v>
      </c>
      <c r="I40" s="56">
        <f ca="1">'[8]Total Distance Tables'!C97</f>
        <v>22.301767343384562</v>
      </c>
      <c r="J40" s="56">
        <f ca="1">'[8]Total Distance Tables'!D97</f>
        <v>24.780364585440434</v>
      </c>
      <c r="K40" s="56">
        <f ca="1">'[8]Total Distance Tables'!E97</f>
        <v>677.18157234380419</v>
      </c>
      <c r="L40" s="56">
        <f ca="1">'[8]Total Distance Tables'!F97</f>
        <v>1371.6483586054492</v>
      </c>
      <c r="M40" s="56">
        <f ca="1">'[8]Total Distance Tables'!G97</f>
        <v>2088.0900152372019</v>
      </c>
      <c r="N40" s="56">
        <f ca="1">'[8]Total Distance Tables'!H97</f>
        <v>2819.6797009637421</v>
      </c>
      <c r="O40" s="56">
        <f ca="1">'[8]Total Distance Tables'!I97</f>
        <v>3589.8303055996826</v>
      </c>
      <c r="P40" s="56">
        <f ca="1">'[8]Total Distance Tables'!J97</f>
        <v>4377.0040347038885</v>
      </c>
      <c r="Q40" s="57">
        <f ca="1">'[8]Total Distance Tables'!K97</f>
        <v>5180.0193812937523</v>
      </c>
    </row>
    <row r="41" spans="3:17" ht="15.5" x14ac:dyDescent="0.35">
      <c r="C41" s="24" t="s">
        <v>9</v>
      </c>
      <c r="D41" s="55">
        <f ca="1">'[8]Total Distance Tables'!$B$108</f>
        <v>2.5483198348</v>
      </c>
      <c r="E41" s="56">
        <f t="shared" ca="1" si="0"/>
        <v>2.6051112727856638</v>
      </c>
      <c r="F41" s="56">
        <f t="shared" ca="1" si="1"/>
        <v>2.6619027107713276</v>
      </c>
      <c r="G41" s="56">
        <f t="shared" ca="1" si="2"/>
        <v>2.7186941487569909</v>
      </c>
      <c r="H41" s="56">
        <f t="shared" ca="1" si="3"/>
        <v>2.7754855867426551</v>
      </c>
      <c r="I41" s="56">
        <f ca="1">'[8]Total Distance Tables'!C108</f>
        <v>2.8322770247283184</v>
      </c>
      <c r="J41" s="56">
        <f ca="1">'[8]Total Distance Tables'!D108</f>
        <v>3.0676368733445356</v>
      </c>
      <c r="K41" s="56">
        <f ca="1">'[8]Total Distance Tables'!E108</f>
        <v>172.99843855593696</v>
      </c>
      <c r="L41" s="56">
        <f ca="1">'[8]Total Distance Tables'!F108</f>
        <v>347.53042379194846</v>
      </c>
      <c r="M41" s="56">
        <f ca="1">'[8]Total Distance Tables'!G108</f>
        <v>520.95009110728654</v>
      </c>
      <c r="N41" s="56">
        <f ca="1">'[8]Total Distance Tables'!H108</f>
        <v>690.51514314479209</v>
      </c>
      <c r="O41" s="56">
        <f ca="1">'[8]Total Distance Tables'!I108</f>
        <v>861.56089933208034</v>
      </c>
      <c r="P41" s="56">
        <f ca="1">'[8]Total Distance Tables'!J108</f>
        <v>1029.1099429916303</v>
      </c>
      <c r="Q41" s="57">
        <f ca="1">'[8]Total Distance Tables'!K108</f>
        <v>1192.832332222652</v>
      </c>
    </row>
    <row r="42" spans="3:17" ht="15.5" x14ac:dyDescent="0.35">
      <c r="C42" s="24" t="s">
        <v>10</v>
      </c>
      <c r="D42" s="55">
        <f ca="1">'[8]Total Distance Tables'!$B$119</f>
        <v>1.6916956777000001</v>
      </c>
      <c r="E42" s="56">
        <f t="shared" ca="1" si="0"/>
        <v>1.7065603721393179</v>
      </c>
      <c r="F42" s="56">
        <f t="shared" ca="1" si="1"/>
        <v>1.7214250665786359</v>
      </c>
      <c r="G42" s="56">
        <f t="shared" ca="1" si="2"/>
        <v>1.7362897610179537</v>
      </c>
      <c r="H42" s="56">
        <f t="shared" ca="1" si="3"/>
        <v>1.7511544554572718</v>
      </c>
      <c r="I42" s="56">
        <f ca="1">'[8]Total Distance Tables'!C119</f>
        <v>1.7660191498965896</v>
      </c>
      <c r="J42" s="56">
        <f ca="1">'[8]Total Distance Tables'!D119</f>
        <v>1.8567355654028863</v>
      </c>
      <c r="K42" s="56">
        <f ca="1">'[8]Total Distance Tables'!E119</f>
        <v>39.495351807451271</v>
      </c>
      <c r="L42" s="56">
        <f ca="1">'[8]Total Distance Tables'!F119</f>
        <v>75.967757069613342</v>
      </c>
      <c r="M42" s="56">
        <f ca="1">'[8]Total Distance Tables'!G119</f>
        <v>110.17503213036026</v>
      </c>
      <c r="N42" s="56">
        <f ca="1">'[8]Total Distance Tables'!H119</f>
        <v>142.01946773124817</v>
      </c>
      <c r="O42" s="56">
        <f ca="1">'[8]Total Distance Tables'!I119</f>
        <v>172.60840902943971</v>
      </c>
      <c r="P42" s="56">
        <f ca="1">'[8]Total Distance Tables'!J119</f>
        <v>200.94161826409604</v>
      </c>
      <c r="Q42" s="57">
        <f ca="1">'[8]Total Distance Tables'!K119</f>
        <v>227.06144637536997</v>
      </c>
    </row>
    <row r="43" spans="3:17" ht="15.5" x14ac:dyDescent="0.35">
      <c r="C43" s="24" t="s">
        <v>11</v>
      </c>
      <c r="D43" s="55">
        <f ca="1">'[8]Total Distance Tables'!$B$130</f>
        <v>16.530142167000001</v>
      </c>
      <c r="E43" s="56">
        <f t="shared" ca="1" si="0"/>
        <v>17.158172064390826</v>
      </c>
      <c r="F43" s="56">
        <f t="shared" ca="1" si="1"/>
        <v>17.78620196178165</v>
      </c>
      <c r="G43" s="56">
        <f t="shared" ca="1" si="2"/>
        <v>18.414231859172478</v>
      </c>
      <c r="H43" s="56">
        <f t="shared" ca="1" si="3"/>
        <v>19.042261756563303</v>
      </c>
      <c r="I43" s="56">
        <f ca="1">'[8]Total Distance Tables'!C130</f>
        <v>19.670291653954127</v>
      </c>
      <c r="J43" s="56">
        <f ca="1">'[8]Total Distance Tables'!D130</f>
        <v>22.268062466783064</v>
      </c>
      <c r="K43" s="56">
        <f ca="1">'[8]Total Distance Tables'!E130</f>
        <v>763.21782006137391</v>
      </c>
      <c r="L43" s="56">
        <f ca="1">'[8]Total Distance Tables'!F130</f>
        <v>1572.3799067904372</v>
      </c>
      <c r="M43" s="56">
        <f ca="1">'[8]Total Distance Tables'!G130</f>
        <v>2428.3126706009466</v>
      </c>
      <c r="N43" s="56">
        <f ca="1">'[8]Total Distance Tables'!H130</f>
        <v>3324.4017772416337</v>
      </c>
      <c r="O43" s="56">
        <f ca="1">'[8]Total Distance Tables'!I130</f>
        <v>4291.2474750656338</v>
      </c>
      <c r="P43" s="56">
        <f ca="1">'[8]Total Distance Tables'!J130</f>
        <v>5304.4803333639893</v>
      </c>
      <c r="Q43" s="57">
        <f ca="1">'[8]Total Distance Tables'!K130</f>
        <v>6363.8812549871245</v>
      </c>
    </row>
    <row r="44" spans="3:17" ht="15.5" x14ac:dyDescent="0.35">
      <c r="C44" s="24" t="s">
        <v>12</v>
      </c>
      <c r="D44" s="55">
        <f ca="1">'[8]Total Distance Tables'!$B$141</f>
        <v>7.2892681777000004</v>
      </c>
      <c r="E44" s="56">
        <f t="shared" ca="1" si="0"/>
        <v>7.5623395541304301</v>
      </c>
      <c r="F44" s="56">
        <f t="shared" ca="1" si="1"/>
        <v>7.8354109305608608</v>
      </c>
      <c r="G44" s="56">
        <f t="shared" ca="1" si="2"/>
        <v>8.1084823069912915</v>
      </c>
      <c r="H44" s="56">
        <f t="shared" ca="1" si="3"/>
        <v>8.3815536834217212</v>
      </c>
      <c r="I44" s="56">
        <f ca="1">'[8]Total Distance Tables'!C141</f>
        <v>8.6546250598521528</v>
      </c>
      <c r="J44" s="56">
        <f ca="1">'[8]Total Distance Tables'!D141</f>
        <v>9.7713399532015686</v>
      </c>
      <c r="K44" s="56">
        <f ca="1">'[8]Total Distance Tables'!E141</f>
        <v>266.79616583110828</v>
      </c>
      <c r="L44" s="56">
        <f ca="1">'[8]Total Distance Tables'!F141</f>
        <v>544.65144067482413</v>
      </c>
      <c r="M44" s="56">
        <f ca="1">'[8]Total Distance Tables'!G141</f>
        <v>835.61790007974491</v>
      </c>
      <c r="N44" s="56">
        <f ca="1">'[8]Total Distance Tables'!H141</f>
        <v>1137.6814131691026</v>
      </c>
      <c r="O44" s="56">
        <f ca="1">'[8]Total Distance Tables'!I141</f>
        <v>1460.9230399400326</v>
      </c>
      <c r="P44" s="56">
        <f ca="1">'[8]Total Distance Tables'!J141</f>
        <v>1796.6867690198608</v>
      </c>
      <c r="Q44" s="57">
        <f ca="1">'[8]Total Distance Tables'!K141</f>
        <v>2144.6705716602232</v>
      </c>
    </row>
    <row r="45" spans="3:17" ht="16" thickBot="1" x14ac:dyDescent="0.4">
      <c r="C45" s="25" t="s">
        <v>13</v>
      </c>
      <c r="D45" s="58">
        <f ca="1">'[8]Total Distance Tables'!$B$152</f>
        <v>1.2430116738999999</v>
      </c>
      <c r="E45" s="59">
        <f t="shared" ca="1" si="0"/>
        <v>1.2667104354856566</v>
      </c>
      <c r="F45" s="59">
        <f t="shared" ca="1" si="1"/>
        <v>1.2904091970713134</v>
      </c>
      <c r="G45" s="59">
        <f t="shared" ca="1" si="2"/>
        <v>1.3141079586569706</v>
      </c>
      <c r="H45" s="59">
        <f t="shared" ca="1" si="3"/>
        <v>1.3378067202426271</v>
      </c>
      <c r="I45" s="59">
        <f ca="1">'[8]Total Distance Tables'!C152</f>
        <v>1.3615054818282841</v>
      </c>
      <c r="J45" s="59">
        <f ca="1">'[8]Total Distance Tables'!D152</f>
        <v>1.4444298252702474</v>
      </c>
      <c r="K45" s="59">
        <f ca="1">'[8]Total Distance Tables'!E152</f>
        <v>109.9244611382949</v>
      </c>
      <c r="L45" s="59">
        <f ca="1">'[8]Total Distance Tables'!F152</f>
        <v>217.96903405515826</v>
      </c>
      <c r="M45" s="59">
        <f ca="1">'[8]Total Distance Tables'!G152</f>
        <v>322.35935655692367</v>
      </c>
      <c r="N45" s="59">
        <f ca="1">'[8]Total Distance Tables'!H152</f>
        <v>422.29981281449636</v>
      </c>
      <c r="O45" s="59">
        <f ca="1">'[8]Total Distance Tables'!I152</f>
        <v>520.79705062494099</v>
      </c>
      <c r="P45" s="59">
        <f ca="1">'[8]Total Distance Tables'!J152</f>
        <v>614.77580107628114</v>
      </c>
      <c r="Q45" s="60">
        <f ca="1">'[8]Total Distance Tables'!K152</f>
        <v>704.14538942958131</v>
      </c>
    </row>
    <row r="46" spans="3:17" ht="16.5" thickTop="1" thickBot="1" x14ac:dyDescent="0.4">
      <c r="C46" s="31" t="s">
        <v>24</v>
      </c>
      <c r="D46" s="61">
        <f ca="1">SUM(D32:D45)</f>
        <v>102.6492410403</v>
      </c>
      <c r="E46" s="62">
        <f t="shared" ref="E46:N46" ca="1" si="4">SUM(E32:E45)</f>
        <v>106.03872790698769</v>
      </c>
      <c r="F46" s="62">
        <f t="shared" ca="1" si="4"/>
        <v>109.42821477367532</v>
      </c>
      <c r="G46" s="62">
        <f t="shared" ca="1" si="4"/>
        <v>112.81770164036301</v>
      </c>
      <c r="H46" s="62">
        <f t="shared" ca="1" si="4"/>
        <v>116.20718850705067</v>
      </c>
      <c r="I46" s="62">
        <f t="shared" ca="1" si="4"/>
        <v>119.59667537373835</v>
      </c>
      <c r="J46" s="62">
        <f t="shared" ca="1" si="4"/>
        <v>133.81546092219909</v>
      </c>
      <c r="K46" s="62">
        <f t="shared" ca="1" si="4"/>
        <v>5802.8547100078413</v>
      </c>
      <c r="L46" s="62">
        <f t="shared" ca="1" si="4"/>
        <v>11842.892285378917</v>
      </c>
      <c r="M46" s="62">
        <f t="shared" ca="1" si="4"/>
        <v>18079.390757529578</v>
      </c>
      <c r="N46" s="62">
        <f t="shared" ca="1" si="4"/>
        <v>24458.091487245951</v>
      </c>
      <c r="O46" s="62">
        <f t="shared" ref="O46:Q46" ca="1" si="5">SUM(O32:O45)</f>
        <v>31175.409388882501</v>
      </c>
      <c r="P46" s="62">
        <f t="shared" ca="1" si="5"/>
        <v>38050.592463952889</v>
      </c>
      <c r="Q46" s="63">
        <f t="shared" ca="1" si="5"/>
        <v>45069.631241735413</v>
      </c>
    </row>
    <row r="47" spans="3:17" ht="16.5" thickTop="1" thickBot="1" x14ac:dyDescent="0.4">
      <c r="C47" s="8" t="s">
        <v>35</v>
      </c>
      <c r="D47" s="62">
        <f ca="1">'[8]Total Distance Tables'!$B$163</f>
        <v>102.6492410403</v>
      </c>
      <c r="E47" s="62">
        <f ca="1">D47*4/5 + I47/5</f>
        <v>106.03872790698767</v>
      </c>
      <c r="F47" s="62">
        <f ca="1">D47*3/5+I47*2/5</f>
        <v>109.42821477367534</v>
      </c>
      <c r="G47" s="62">
        <f t="shared" ref="G47" ca="1" si="6">D47*2/5+I47*3/5</f>
        <v>112.81770164036303</v>
      </c>
      <c r="H47" s="62">
        <f t="shared" ref="H47" ca="1" si="7">D47*1/5+I47*4/5</f>
        <v>116.20718850705069</v>
      </c>
      <c r="I47" s="62">
        <f ca="1">'[8]Total Distance Tables'!C163</f>
        <v>119.59667537373835</v>
      </c>
      <c r="J47" s="62">
        <f ca="1">'[8]Total Distance Tables'!D163</f>
        <v>133.81546092219909</v>
      </c>
      <c r="K47" s="62">
        <f ca="1">'[8]Total Distance Tables'!E163</f>
        <v>5802.8547100078413</v>
      </c>
      <c r="L47" s="62">
        <f ca="1">'[8]Total Distance Tables'!F163</f>
        <v>11842.892285378917</v>
      </c>
      <c r="M47" s="62">
        <f ca="1">'[8]Total Distance Tables'!G163</f>
        <v>18079.390757529578</v>
      </c>
      <c r="N47" s="62">
        <f ca="1">'[8]Total Distance Tables'!H163</f>
        <v>24458.091487245951</v>
      </c>
      <c r="O47" s="62">
        <f ca="1">'[8]Total Distance Tables'!I163</f>
        <v>31175.409388882501</v>
      </c>
      <c r="P47" s="62">
        <f ca="1">'[8]Total Distance Tables'!J163</f>
        <v>38050.592463952889</v>
      </c>
      <c r="Q47" s="63">
        <f ca="1">'[8]Total Distance Tables'!K163</f>
        <v>45069.631241735413</v>
      </c>
    </row>
    <row r="48" spans="3:17" ht="16" thickTop="1" x14ac:dyDescent="0.35">
      <c r="C48" s="12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49" spans="3:17" ht="16" thickBot="1" x14ac:dyDescent="0.4">
      <c r="C49" s="128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3:17" ht="16" thickTop="1" x14ac:dyDescent="0.35">
      <c r="C50" s="32" t="s">
        <v>143</v>
      </c>
      <c r="D50" s="33"/>
      <c r="E50" s="33"/>
      <c r="F50" s="33"/>
      <c r="G50" s="33"/>
      <c r="H50" s="33"/>
      <c r="I50" s="33"/>
      <c r="J50" s="34"/>
      <c r="K50" s="34"/>
      <c r="L50" s="34"/>
      <c r="M50" s="34"/>
      <c r="N50" s="34"/>
      <c r="O50" s="34"/>
      <c r="P50" s="34"/>
      <c r="Q50" s="35"/>
    </row>
    <row r="51" spans="3:17" ht="13.5" thickBot="1" x14ac:dyDescent="0.35">
      <c r="C51" s="36"/>
      <c r="D51" s="37" t="s">
        <v>25</v>
      </c>
      <c r="E51" s="37" t="s">
        <v>37</v>
      </c>
      <c r="F51" s="37" t="s">
        <v>38</v>
      </c>
      <c r="G51" s="37" t="s">
        <v>177</v>
      </c>
      <c r="H51" s="37" t="s">
        <v>178</v>
      </c>
      <c r="I51" s="37" t="s">
        <v>26</v>
      </c>
      <c r="J51" s="37" t="s">
        <v>27</v>
      </c>
      <c r="K51" s="37" t="s">
        <v>28</v>
      </c>
      <c r="L51" s="37" t="s">
        <v>29</v>
      </c>
      <c r="M51" s="37" t="s">
        <v>30</v>
      </c>
      <c r="N51" s="37" t="s">
        <v>31</v>
      </c>
      <c r="O51" s="37" t="s">
        <v>174</v>
      </c>
      <c r="P51" s="37" t="s">
        <v>175</v>
      </c>
      <c r="Q51" s="38" t="s">
        <v>176</v>
      </c>
    </row>
    <row r="52" spans="3:17" ht="14" thickTop="1" thickBot="1" x14ac:dyDescent="0.35">
      <c r="C52" s="18"/>
      <c r="D52" s="65" t="s">
        <v>39</v>
      </c>
      <c r="E52" s="65" t="s">
        <v>39</v>
      </c>
      <c r="F52" s="65" t="s">
        <v>39</v>
      </c>
      <c r="G52" s="65" t="s">
        <v>39</v>
      </c>
      <c r="H52" s="65" t="s">
        <v>39</v>
      </c>
      <c r="I52" s="65" t="s">
        <v>39</v>
      </c>
      <c r="J52" s="65" t="s">
        <v>32</v>
      </c>
      <c r="K52" s="65" t="s">
        <v>32</v>
      </c>
      <c r="L52" s="65" t="s">
        <v>32</v>
      </c>
      <c r="M52" s="65" t="s">
        <v>32</v>
      </c>
      <c r="N52" s="65" t="s">
        <v>32</v>
      </c>
      <c r="O52" s="65" t="s">
        <v>32</v>
      </c>
      <c r="P52" s="65" t="s">
        <v>32</v>
      </c>
      <c r="Q52" s="66" t="s">
        <v>32</v>
      </c>
    </row>
    <row r="53" spans="3:17" ht="16" thickTop="1" x14ac:dyDescent="0.35">
      <c r="C53" s="27" t="s">
        <v>0</v>
      </c>
      <c r="D53" s="52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f ca="1">('Light Vehicle Supporting Data'!J47+'Light Vehicle Supporting Data'!J68)*'Vehicle Share Diversion Support'!J47/(1-'Vehicle Share Diversion Support'!J47)</f>
        <v>0</v>
      </c>
      <c r="K53" s="53">
        <f ca="1">('Light Vehicle Supporting Data'!K47+'Light Vehicle Supporting Data'!K68)*'Vehicle Share Diversion Support'!K47/(1-'Vehicle Share Diversion Support'!K47)</f>
        <v>197.28642238541761</v>
      </c>
      <c r="L53" s="53">
        <f ca="1">('Light Vehicle Supporting Data'!L47+'Light Vehicle Supporting Data'!L68)*'Vehicle Share Diversion Support'!L47/(1-'Vehicle Share Diversion Support'!L47)</f>
        <v>405.51477314904804</v>
      </c>
      <c r="M53" s="53">
        <f ca="1">('Light Vehicle Supporting Data'!M47+'Light Vehicle Supporting Data'!M68)*'Vehicle Share Diversion Support'!M47/(1-'Vehicle Share Diversion Support'!M47)</f>
        <v>618.52104759938538</v>
      </c>
      <c r="N53" s="53">
        <f ca="1">('Light Vehicle Supporting Data'!N47+'Light Vehicle Supporting Data'!N68)*'Vehicle Share Diversion Support'!N47/(1-'Vehicle Share Diversion Support'!N47)</f>
        <v>833.48580697832631</v>
      </c>
      <c r="O53" s="53">
        <f ca="1">('Light Vehicle Supporting Data'!O47+'Light Vehicle Supporting Data'!O68)*'Vehicle Share Diversion Support'!O47/(1-'Vehicle Share Diversion Support'!O47)</f>
        <v>1057.0969254346044</v>
      </c>
      <c r="P53" s="53">
        <f ca="1">('Light Vehicle Supporting Data'!P47+'Light Vehicle Supporting Data'!P68)*'Vehicle Share Diversion Support'!P47/(1-'Vehicle Share Diversion Support'!P47)</f>
        <v>1283.4966868203624</v>
      </c>
      <c r="Q53" s="54">
        <f ca="1">('Light Vehicle Supporting Data'!Q47+'Light Vehicle Supporting Data'!Q68)*'Vehicle Share Diversion Support'!Q47/(1-'Vehicle Share Diversion Support'!Q47)</f>
        <v>1512.4663094431428</v>
      </c>
    </row>
    <row r="54" spans="3:17" ht="15.5" x14ac:dyDescent="0.35">
      <c r="C54" s="24" t="s">
        <v>1</v>
      </c>
      <c r="D54" s="55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f ca="1">('Light Vehicle Supporting Data'!J48+'Light Vehicle Supporting Data'!J69)*'Vehicle Share Diversion Support'!J48/(1-'Vehicle Share Diversion Support'!J48)</f>
        <v>0</v>
      </c>
      <c r="K54" s="56">
        <f ca="1">('Light Vehicle Supporting Data'!K48+'Light Vehicle Supporting Data'!K69)*'Vehicle Share Diversion Support'!K48/(1-'Vehicle Share Diversion Support'!K48)</f>
        <v>1717.5064401076024</v>
      </c>
      <c r="L54" s="56">
        <f ca="1">('Light Vehicle Supporting Data'!L48+'Light Vehicle Supporting Data'!L69)*'Vehicle Share Diversion Support'!L48/(1-'Vehicle Share Diversion Support'!L48)</f>
        <v>3572.5359515929654</v>
      </c>
      <c r="M54" s="56">
        <f ca="1">('Light Vehicle Supporting Data'!M48+'Light Vehicle Supporting Data'!M69)*'Vehicle Share Diversion Support'!M48/(1-'Vehicle Share Diversion Support'!M48)</f>
        <v>5512.9761161153629</v>
      </c>
      <c r="N54" s="56">
        <f ca="1">('Light Vehicle Supporting Data'!N48+'Light Vehicle Supporting Data'!N69)*'Vehicle Share Diversion Support'!N48/(1-'Vehicle Share Diversion Support'!N48)</f>
        <v>7522.9804855172961</v>
      </c>
      <c r="O54" s="56">
        <f ca="1">('Light Vehicle Supporting Data'!O48+'Light Vehicle Supporting Data'!O69)*'Vehicle Share Diversion Support'!O48/(1-'Vehicle Share Diversion Support'!O48)</f>
        <v>9666.4277917223899</v>
      </c>
      <c r="P54" s="56">
        <f ca="1">('Light Vehicle Supporting Data'!P48+'Light Vehicle Supporting Data'!P69)*'Vehicle Share Diversion Support'!P48/(1-'Vehicle Share Diversion Support'!P48)</f>
        <v>11884.219801592248</v>
      </c>
      <c r="Q54" s="57">
        <f ca="1">('Light Vehicle Supporting Data'!Q48+'Light Vehicle Supporting Data'!Q69)*'Vehicle Share Diversion Support'!Q48/(1-'Vehicle Share Diversion Support'!Q48)</f>
        <v>14168.009130200551</v>
      </c>
    </row>
    <row r="55" spans="3:17" ht="15.5" x14ac:dyDescent="0.35">
      <c r="C55" s="24" t="s">
        <v>2</v>
      </c>
      <c r="D55" s="55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f ca="1">('Light Vehicle Supporting Data'!J49+'Light Vehicle Supporting Data'!J70)*'Vehicle Share Diversion Support'!J49/(1-'Vehicle Share Diversion Support'!J49)</f>
        <v>0</v>
      </c>
      <c r="K55" s="56">
        <f ca="1">('Light Vehicle Supporting Data'!K49+'Light Vehicle Supporting Data'!K70)*'Vehicle Share Diversion Support'!K49/(1-'Vehicle Share Diversion Support'!K49)</f>
        <v>679.35261637373139</v>
      </c>
      <c r="L55" s="56">
        <f ca="1">('Light Vehicle Supporting Data'!L49+'Light Vehicle Supporting Data'!L70)*'Vehicle Share Diversion Support'!L49/(1-'Vehicle Share Diversion Support'!L49)</f>
        <v>1401.3867182198255</v>
      </c>
      <c r="M55" s="56">
        <f ca="1">('Light Vehicle Supporting Data'!M49+'Light Vehicle Supporting Data'!M70)*'Vehicle Share Diversion Support'!M49/(1-'Vehicle Share Diversion Support'!M49)</f>
        <v>2144.2241826454074</v>
      </c>
      <c r="N55" s="56">
        <f ca="1">('Light Vehicle Supporting Data'!N49+'Light Vehicle Supporting Data'!N70)*'Vehicle Share Diversion Support'!N49/(1-'Vehicle Share Diversion Support'!N49)</f>
        <v>2900.5446858214164</v>
      </c>
      <c r="O55" s="56">
        <f ca="1">('Light Vehicle Supporting Data'!O49+'Light Vehicle Supporting Data'!O70)*'Vehicle Share Diversion Support'!O49/(1-'Vehicle Share Diversion Support'!O49)</f>
        <v>3689.2573598502245</v>
      </c>
      <c r="P55" s="56">
        <f ca="1">('Light Vehicle Supporting Data'!P49+'Light Vehicle Supporting Data'!P70)*'Vehicle Share Diversion Support'!P49/(1-'Vehicle Share Diversion Support'!P49)</f>
        <v>4490.0962474604057</v>
      </c>
      <c r="Q55" s="57">
        <f ca="1">('Light Vehicle Supporting Data'!Q49+'Light Vehicle Supporting Data'!Q70)*'Vehicle Share Diversion Support'!Q49/(1-'Vehicle Share Diversion Support'!Q49)</f>
        <v>5301.1816580910599</v>
      </c>
    </row>
    <row r="56" spans="3:17" ht="15.5" x14ac:dyDescent="0.35">
      <c r="C56" s="24" t="s">
        <v>3</v>
      </c>
      <c r="D56" s="55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f ca="1">('Light Vehicle Supporting Data'!J50+'Light Vehicle Supporting Data'!J71)*'Vehicle Share Diversion Support'!J50/(1-'Vehicle Share Diversion Support'!J50)</f>
        <v>0</v>
      </c>
      <c r="K56" s="56">
        <f ca="1">('Light Vehicle Supporting Data'!K50+'Light Vehicle Supporting Data'!K71)*'Vehicle Share Diversion Support'!K50/(1-'Vehicle Share Diversion Support'!K50)</f>
        <v>388.20106721950316</v>
      </c>
      <c r="L56" s="56">
        <f ca="1">('Light Vehicle Supporting Data'!L50+'Light Vehicle Supporting Data'!L71)*'Vehicle Share Diversion Support'!L50/(1-'Vehicle Share Diversion Support'!L50)</f>
        <v>793.96050639040368</v>
      </c>
      <c r="M56" s="56">
        <f ca="1">('Light Vehicle Supporting Data'!M50+'Light Vehicle Supporting Data'!M71)*'Vehicle Share Diversion Support'!M50/(1-'Vehicle Share Diversion Support'!M50)</f>
        <v>1204.5517619671784</v>
      </c>
      <c r="N56" s="56">
        <f ca="1">('Light Vehicle Supporting Data'!N50+'Light Vehicle Supporting Data'!N71)*'Vehicle Share Diversion Support'!N50/(1-'Vehicle Share Diversion Support'!N50)</f>
        <v>1615.9199518943806</v>
      </c>
      <c r="O56" s="56">
        <f ca="1">('Light Vehicle Supporting Data'!O50+'Light Vehicle Supporting Data'!O71)*'Vehicle Share Diversion Support'!O50/(1-'Vehicle Share Diversion Support'!O50)</f>
        <v>2040.2129404378252</v>
      </c>
      <c r="P56" s="56">
        <f ca="1">('Light Vehicle Supporting Data'!P50+'Light Vehicle Supporting Data'!P71)*'Vehicle Share Diversion Support'!P50/(1-'Vehicle Share Diversion Support'!P50)</f>
        <v>2464.7032510659637</v>
      </c>
      <c r="Q56" s="57">
        <f ca="1">('Light Vehicle Supporting Data'!Q50+'Light Vehicle Supporting Data'!Q71)*'Vehicle Share Diversion Support'!Q50/(1-'Vehicle Share Diversion Support'!Q50)</f>
        <v>2888.214430891936</v>
      </c>
    </row>
    <row r="57" spans="3:17" ht="15.5" x14ac:dyDescent="0.35">
      <c r="C57" s="24" t="s">
        <v>4</v>
      </c>
      <c r="D57" s="55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f ca="1">('Light Vehicle Supporting Data'!J51+'Light Vehicle Supporting Data'!J72)*'Vehicle Share Diversion Support'!J51/(1-'Vehicle Share Diversion Support'!J51)</f>
        <v>0</v>
      </c>
      <c r="K57" s="56">
        <f ca="1">('Light Vehicle Supporting Data'!K51+'Light Vehicle Supporting Data'!K72)*'Vehicle Share Diversion Support'!K51/(1-'Vehicle Share Diversion Support'!K51)</f>
        <v>43.887746205304992</v>
      </c>
      <c r="L57" s="56">
        <f ca="1">('Light Vehicle Supporting Data'!L51+'Light Vehicle Supporting Data'!L72)*'Vehicle Share Diversion Support'!L51/(1-'Vehicle Share Diversion Support'!L51)</f>
        <v>88.003855130723167</v>
      </c>
      <c r="M57" s="56">
        <f ca="1">('Light Vehicle Supporting Data'!M51+'Light Vehicle Supporting Data'!M72)*'Vehicle Share Diversion Support'!M51/(1-'Vehicle Share Diversion Support'!M51)</f>
        <v>130.80635165755857</v>
      </c>
      <c r="N57" s="56">
        <f ca="1">('Light Vehicle Supporting Data'!N51+'Light Vehicle Supporting Data'!N72)*'Vehicle Share Diversion Support'!N51/(1-'Vehicle Share Diversion Support'!N51)</f>
        <v>172.03616707896742</v>
      </c>
      <c r="O57" s="56">
        <f ca="1">('Light Vehicle Supporting Data'!O51+'Light Vehicle Supporting Data'!O72)*'Vehicle Share Diversion Support'!O51/(1-'Vehicle Share Diversion Support'!O51)</f>
        <v>213.19475440649359</v>
      </c>
      <c r="P57" s="56">
        <f ca="1">('Light Vehicle Supporting Data'!P51+'Light Vehicle Supporting Data'!P72)*'Vehicle Share Diversion Support'!P51/(1-'Vehicle Share Diversion Support'!P51)</f>
        <v>252.82641137088606</v>
      </c>
      <c r="Q57" s="57">
        <f ca="1">('Light Vehicle Supporting Data'!Q51+'Light Vehicle Supporting Data'!Q72)*'Vehicle Share Diversion Support'!Q51/(1-'Vehicle Share Diversion Support'!Q51)</f>
        <v>290.87202393144582</v>
      </c>
    </row>
    <row r="58" spans="3:17" ht="15.5" x14ac:dyDescent="0.35">
      <c r="C58" s="24" t="s">
        <v>5</v>
      </c>
      <c r="D58" s="55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f ca="1">('Light Vehicle Supporting Data'!J52+'Light Vehicle Supporting Data'!J73)*'Vehicle Share Diversion Support'!J52/(1-'Vehicle Share Diversion Support'!J52)</f>
        <v>0</v>
      </c>
      <c r="K58" s="56">
        <f ca="1">('Light Vehicle Supporting Data'!K52+'Light Vehicle Supporting Data'!K73)*'Vehicle Share Diversion Support'!K52/(1-'Vehicle Share Diversion Support'!K52)</f>
        <v>184.99592901243463</v>
      </c>
      <c r="L58" s="56">
        <f ca="1">('Light Vehicle Supporting Data'!L52+'Light Vehicle Supporting Data'!L73)*'Vehicle Share Diversion Support'!L52/(1-'Vehicle Share Diversion Support'!L52)</f>
        <v>378.63713855463891</v>
      </c>
      <c r="M58" s="56">
        <f ca="1">('Light Vehicle Supporting Data'!M52+'Light Vehicle Supporting Data'!M73)*'Vehicle Share Diversion Support'!M52/(1-'Vehicle Share Diversion Support'!M52)</f>
        <v>575.2911417598433</v>
      </c>
      <c r="N58" s="56">
        <f ca="1">('Light Vehicle Supporting Data'!N52+'Light Vehicle Supporting Data'!N73)*'Vehicle Share Diversion Support'!N52/(1-'Vehicle Share Diversion Support'!N52)</f>
        <v>773.72482517787364</v>
      </c>
      <c r="O58" s="56">
        <f ca="1">('Light Vehicle Supporting Data'!O52+'Light Vehicle Supporting Data'!O73)*'Vehicle Share Diversion Support'!O52/(1-'Vehicle Share Diversion Support'!O52)</f>
        <v>979.96392759325681</v>
      </c>
      <c r="P58" s="56">
        <f ca="1">('Light Vehicle Supporting Data'!P52+'Light Vehicle Supporting Data'!P73)*'Vehicle Share Diversion Support'!P52/(1-'Vehicle Share Diversion Support'!P52)</f>
        <v>1188.478260004393</v>
      </c>
      <c r="Q58" s="57">
        <f ca="1">('Light Vehicle Supporting Data'!Q52+'Light Vehicle Supporting Data'!Q73)*'Vehicle Share Diversion Support'!Q52/(1-'Vehicle Share Diversion Support'!Q52)</f>
        <v>1399.1875768830002</v>
      </c>
    </row>
    <row r="59" spans="3:17" ht="15.5" x14ac:dyDescent="0.35">
      <c r="C59" s="24" t="s">
        <v>6</v>
      </c>
      <c r="D59" s="55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f ca="1">('Light Vehicle Supporting Data'!J53+'Light Vehicle Supporting Data'!J74)*'Vehicle Share Diversion Support'!J53/(1-'Vehicle Share Diversion Support'!J53)</f>
        <v>0</v>
      </c>
      <c r="K59" s="56">
        <f ca="1">('Light Vehicle Supporting Data'!K53+'Light Vehicle Supporting Data'!K74)*'Vehicle Share Diversion Support'!K53/(1-'Vehicle Share Diversion Support'!K53)</f>
        <v>186.86211934363752</v>
      </c>
      <c r="L59" s="56">
        <f ca="1">('Light Vehicle Supporting Data'!L53+'Light Vehicle Supporting Data'!L74)*'Vehicle Share Diversion Support'!L53/(1-'Vehicle Share Diversion Support'!L53)</f>
        <v>385.47852712104776</v>
      </c>
      <c r="M59" s="56">
        <f ca="1">('Light Vehicle Supporting Data'!M53+'Light Vehicle Supporting Data'!M74)*'Vehicle Share Diversion Support'!M53/(1-'Vehicle Share Diversion Support'!M53)</f>
        <v>590.65045289766601</v>
      </c>
      <c r="N59" s="56">
        <f ca="1">('Light Vehicle Supporting Data'!N53+'Light Vehicle Supporting Data'!N74)*'Vehicle Share Diversion Support'!N53/(1-'Vehicle Share Diversion Support'!N53)</f>
        <v>801.04738441830671</v>
      </c>
      <c r="O59" s="56">
        <f ca="1">('Light Vehicle Supporting Data'!O53+'Light Vehicle Supporting Data'!O74)*'Vehicle Share Diversion Support'!O53/(1-'Vehicle Share Diversion Support'!O53)</f>
        <v>1023.1478337926974</v>
      </c>
      <c r="P59" s="56">
        <f ca="1">('Light Vehicle Supporting Data'!P53+'Light Vehicle Supporting Data'!P74)*'Vehicle Share Diversion Support'!P53/(1-'Vehicle Share Diversion Support'!P53)</f>
        <v>1251.1060254138674</v>
      </c>
      <c r="Q59" s="57">
        <f ca="1">('Light Vehicle Supporting Data'!Q53+'Light Vehicle Supporting Data'!Q74)*'Vehicle Share Diversion Support'!Q53/(1-'Vehicle Share Diversion Support'!Q53)</f>
        <v>1484.807687142433</v>
      </c>
    </row>
    <row r="60" spans="3:17" ht="15.5" x14ac:dyDescent="0.35">
      <c r="C60" s="24" t="s">
        <v>7</v>
      </c>
      <c r="D60" s="55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f ca="1">('Light Vehicle Supporting Data'!J54+'Light Vehicle Supporting Data'!J75)*'Vehicle Share Diversion Support'!J54/(1-'Vehicle Share Diversion Support'!J54)</f>
        <v>0</v>
      </c>
      <c r="K60" s="56">
        <f ca="1">('Light Vehicle Supporting Data'!K54+'Light Vehicle Supporting Data'!K75)*'Vehicle Share Diversion Support'!K54/(1-'Vehicle Share Diversion Support'!K54)</f>
        <v>297.66084485921056</v>
      </c>
      <c r="L60" s="56">
        <f ca="1">('Light Vehicle Supporting Data'!L54+'Light Vehicle Supporting Data'!L75)*'Vehicle Share Diversion Support'!L54/(1-'Vehicle Share Diversion Support'!L54)</f>
        <v>603.68196524600273</v>
      </c>
      <c r="M60" s="56">
        <f ca="1">('Light Vehicle Supporting Data'!M54+'Light Vehicle Supporting Data'!M75)*'Vehicle Share Diversion Support'!M54/(1-'Vehicle Share Diversion Support'!M54)</f>
        <v>908.60647543524647</v>
      </c>
      <c r="N60" s="56">
        <f ca="1">('Light Vehicle Supporting Data'!N54+'Light Vehicle Supporting Data'!N75)*'Vehicle Share Diversion Support'!N54/(1-'Vehicle Share Diversion Support'!N54)</f>
        <v>1209.0696093537699</v>
      </c>
      <c r="O60" s="56">
        <f ca="1">('Light Vehicle Supporting Data'!O54+'Light Vehicle Supporting Data'!O75)*'Vehicle Share Diversion Support'!O54/(1-'Vehicle Share Diversion Support'!O54)</f>
        <v>1514.1387175690725</v>
      </c>
      <c r="P60" s="56">
        <f ca="1">('Light Vehicle Supporting Data'!P54+'Light Vehicle Supporting Data'!P75)*'Vehicle Share Diversion Support'!P54/(1-'Vehicle Share Diversion Support'!P54)</f>
        <v>1815.5662079176823</v>
      </c>
      <c r="Q60" s="57">
        <f ca="1">('Light Vehicle Supporting Data'!Q54+'Light Vehicle Supporting Data'!Q75)*'Vehicle Share Diversion Support'!Q54/(1-'Vehicle Share Diversion Support'!Q54)</f>
        <v>2113.2140542121315</v>
      </c>
    </row>
    <row r="61" spans="3:17" ht="15.5" x14ac:dyDescent="0.35">
      <c r="C61" s="24" t="s">
        <v>8</v>
      </c>
      <c r="D61" s="55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f ca="1">('Light Vehicle Supporting Data'!J55+'Light Vehicle Supporting Data'!J76)*'Vehicle Share Diversion Support'!J55/(1-'Vehicle Share Diversion Support'!J55)</f>
        <v>0</v>
      </c>
      <c r="K61" s="56">
        <f ca="1">('Light Vehicle Supporting Data'!K55+'Light Vehicle Supporting Data'!K76)*'Vehicle Share Diversion Support'!K55/(1-'Vehicle Share Diversion Support'!K55)</f>
        <v>650.14526290874562</v>
      </c>
      <c r="L61" s="56">
        <f ca="1">('Light Vehicle Supporting Data'!L55+'Light Vehicle Supporting Data'!L76)*'Vehicle Share Diversion Support'!L55/(1-'Vehicle Share Diversion Support'!L55)</f>
        <v>1342.6620462935573</v>
      </c>
      <c r="M61" s="56">
        <f ca="1">('Light Vehicle Supporting Data'!M55+'Light Vehicle Supporting Data'!M76)*'Vehicle Share Diversion Support'!M55/(1-'Vehicle Share Diversion Support'!M55)</f>
        <v>2057.6388483772539</v>
      </c>
      <c r="N61" s="56">
        <f ca="1">('Light Vehicle Supporting Data'!N55+'Light Vehicle Supporting Data'!N76)*'Vehicle Share Diversion Support'!N55/(1-'Vehicle Share Diversion Support'!N55)</f>
        <v>2787.8814411801318</v>
      </c>
      <c r="O61" s="56">
        <f ca="1">('Light Vehicle Supporting Data'!O55+'Light Vehicle Supporting Data'!O76)*'Vehicle Share Diversion Support'!O55/(1-'Vehicle Share Diversion Support'!O55)</f>
        <v>3557.4251351512162</v>
      </c>
      <c r="P61" s="56">
        <f ca="1">('Light Vehicle Supporting Data'!P55+'Light Vehicle Supporting Data'!P76)*'Vehicle Share Diversion Support'!P55/(1-'Vehicle Share Diversion Support'!P55)</f>
        <v>4344.0775388618649</v>
      </c>
      <c r="Q61" s="57">
        <f ca="1">('Light Vehicle Supporting Data'!Q55+'Light Vehicle Supporting Data'!Q76)*'Vehicle Share Diversion Support'!Q55/(1-'Vehicle Share Diversion Support'!Q55)</f>
        <v>5146.6267632454101</v>
      </c>
    </row>
    <row r="62" spans="3:17" ht="15.5" x14ac:dyDescent="0.35">
      <c r="C62" s="24" t="s">
        <v>9</v>
      </c>
      <c r="D62" s="55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f ca="1">('Light Vehicle Supporting Data'!J56+'Light Vehicle Supporting Data'!J77)*'Vehicle Share Diversion Support'!J56/(1-'Vehicle Share Diversion Support'!J56)</f>
        <v>0</v>
      </c>
      <c r="K62" s="56">
        <f ca="1">('Light Vehicle Supporting Data'!K56+'Light Vehicle Supporting Data'!K77)*'Vehicle Share Diversion Support'!K56/(1-'Vehicle Share Diversion Support'!K56)</f>
        <v>169.7207738939745</v>
      </c>
      <c r="L62" s="56">
        <f ca="1">('Light Vehicle Supporting Data'!L56+'Light Vehicle Supporting Data'!L77)*'Vehicle Share Diversion Support'!L56/(1-'Vehicle Share Diversion Support'!L56)</f>
        <v>344.08961876896069</v>
      </c>
      <c r="M62" s="56">
        <f ca="1">('Light Vehicle Supporting Data'!M56+'Light Vehicle Supporting Data'!M77)*'Vehicle Share Diversion Support'!M56/(1-'Vehicle Share Diversion Support'!M56)</f>
        <v>517.41235947080156</v>
      </c>
      <c r="N62" s="56">
        <f ca="1">('Light Vehicle Supporting Data'!N56+'Light Vehicle Supporting Data'!N77)*'Vehicle Share Diversion Support'!N56/(1-'Vehicle Share Diversion Support'!N56)</f>
        <v>686.90545880024661</v>
      </c>
      <c r="O62" s="56">
        <f ca="1">('Light Vehicle Supporting Data'!O56+'Light Vehicle Supporting Data'!O77)*'Vehicle Share Diversion Support'!O56/(1-'Vehicle Share Diversion Support'!O56)</f>
        <v>857.96716922886253</v>
      </c>
      <c r="P62" s="56">
        <f ca="1">('Light Vehicle Supporting Data'!P56+'Light Vehicle Supporting Data'!P77)*'Vehicle Share Diversion Support'!P56/(1-'Vehicle Share Diversion Support'!P56)</f>
        <v>1025.5433004008109</v>
      </c>
      <c r="Q62" s="57">
        <f ca="1">('Light Vehicle Supporting Data'!Q56+'Light Vehicle Supporting Data'!Q77)*'Vehicle Share Diversion Support'!Q56/(1-'Vehicle Share Diversion Support'!Q56)</f>
        <v>1189.2999918524417</v>
      </c>
    </row>
    <row r="63" spans="3:17" ht="15.5" x14ac:dyDescent="0.35">
      <c r="C63" s="24" t="s">
        <v>10</v>
      </c>
      <c r="D63" s="55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f ca="1">('Light Vehicle Supporting Data'!J57+'Light Vehicle Supporting Data'!J78)*'Vehicle Share Diversion Support'!J57/(1-'Vehicle Share Diversion Support'!J57)</f>
        <v>0</v>
      </c>
      <c r="K63" s="56">
        <f ca="1">('Light Vehicle Supporting Data'!K57+'Light Vehicle Supporting Data'!K78)*'Vehicle Share Diversion Support'!K57/(1-'Vehicle Share Diversion Support'!K57)</f>
        <v>37.566400120268945</v>
      </c>
      <c r="L63" s="56">
        <f ca="1">('Light Vehicle Supporting Data'!L57+'Light Vehicle Supporting Data'!L78)*'Vehicle Share Diversion Support'!L57/(1-'Vehicle Share Diversion Support'!L57)</f>
        <v>73.997983112759357</v>
      </c>
      <c r="M63" s="56">
        <f ca="1">('Light Vehicle Supporting Data'!M57+'Light Vehicle Supporting Data'!M78)*'Vehicle Share Diversion Support'!M57/(1-'Vehicle Share Diversion Support'!M57)</f>
        <v>108.20393825838967</v>
      </c>
      <c r="N63" s="56">
        <f ca="1">('Light Vehicle Supporting Data'!N57+'Light Vehicle Supporting Data'!N78)*'Vehicle Share Diversion Support'!N57/(1-'Vehicle Share Diversion Support'!N57)</f>
        <v>140.05692673353261</v>
      </c>
      <c r="O63" s="56">
        <f ca="1">('Light Vehicle Supporting Data'!O57+'Light Vehicle Supporting Data'!O78)*'Vehicle Share Diversion Support'!O57/(1-'Vehicle Share Diversion Support'!O57)</f>
        <v>170.70188808907207</v>
      </c>
      <c r="P63" s="56">
        <f ca="1">('Light Vehicle Supporting Data'!P57+'Light Vehicle Supporting Data'!P78)*'Vehicle Share Diversion Support'!P57/(1-'Vehicle Share Diversion Support'!P57)</f>
        <v>199.09540519813024</v>
      </c>
      <c r="Q63" s="57">
        <f ca="1">('Light Vehicle Supporting Data'!Q57+'Light Vehicle Supporting Data'!Q78)*'Vehicle Share Diversion Support'!Q57/(1-'Vehicle Share Diversion Support'!Q57)</f>
        <v>225.27746484175935</v>
      </c>
    </row>
    <row r="64" spans="3:17" ht="15.5" x14ac:dyDescent="0.35">
      <c r="C64" s="24" t="s">
        <v>11</v>
      </c>
      <c r="D64" s="55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f ca="1">('Light Vehicle Supporting Data'!J58+'Light Vehicle Supporting Data'!J79)*'Vehicle Share Diversion Support'!J58/(1-'Vehicle Share Diversion Support'!J58)</f>
        <v>0</v>
      </c>
      <c r="K64" s="56">
        <f ca="1">('Light Vehicle Supporting Data'!K58+'Light Vehicle Supporting Data'!K79)*'Vehicle Share Diversion Support'!K58/(1-'Vehicle Share Diversion Support'!K58)</f>
        <v>738.62128943780613</v>
      </c>
      <c r="L64" s="56">
        <f ca="1">('Light Vehicle Supporting Data'!L58+'Light Vehicle Supporting Data'!L79)*'Vehicle Share Diversion Support'!L58/(1-'Vehicle Share Diversion Support'!L58)</f>
        <v>1545.697381665995</v>
      </c>
      <c r="M64" s="56">
        <f ca="1">('Light Vehicle Supporting Data'!M58+'Light Vehicle Supporting Data'!M79)*'Vehicle Share Diversion Support'!M58/(1-'Vehicle Share Diversion Support'!M58)</f>
        <v>2399.9515340636717</v>
      </c>
      <c r="N64" s="56">
        <f ca="1">('Light Vehicle Supporting Data'!N58+'Light Vehicle Supporting Data'!N79)*'Vehicle Share Diversion Support'!N58/(1-'Vehicle Share Diversion Support'!N58)</f>
        <v>3294.4420616096622</v>
      </c>
      <c r="O64" s="56">
        <f ca="1">('Light Vehicle Supporting Data'!O58+'Light Vehicle Supporting Data'!O79)*'Vehicle Share Diversion Support'!O58/(1-'Vehicle Share Diversion Support'!O58)</f>
        <v>4260.3658690417042</v>
      </c>
      <c r="P64" s="56">
        <f ca="1">('Light Vehicle Supporting Data'!P58+'Light Vehicle Supporting Data'!P79)*'Vehicle Share Diversion Support'!P58/(1-'Vehicle Share Diversion Support'!P58)</f>
        <v>5272.7470231801117</v>
      </c>
      <c r="Q64" s="57">
        <f ca="1">('Light Vehicle Supporting Data'!Q58+'Light Vehicle Supporting Data'!Q79)*'Vehicle Share Diversion Support'!Q58/(1-'Vehicle Share Diversion Support'!Q58)</f>
        <v>6331.3399998844598</v>
      </c>
    </row>
    <row r="65" spans="3:17" ht="15.5" x14ac:dyDescent="0.35">
      <c r="C65" s="24" t="s">
        <v>12</v>
      </c>
      <c r="D65" s="55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f ca="1">('Light Vehicle Supporting Data'!J59+'Light Vehicle Supporting Data'!J80)*'Vehicle Share Diversion Support'!J59/(1-'Vehicle Share Diversion Support'!J59)</f>
        <v>0</v>
      </c>
      <c r="K65" s="56">
        <f ca="1">('Light Vehicle Supporting Data'!K59+'Light Vehicle Supporting Data'!K80)*'Vehicle Share Diversion Support'!K59/(1-'Vehicle Share Diversion Support'!K59)</f>
        <v>256.05638227778979</v>
      </c>
      <c r="L65" s="56">
        <f ca="1">('Light Vehicle Supporting Data'!L59+'Light Vehicle Supporting Data'!L80)*'Vehicle Share Diversion Support'!L59/(1-'Vehicle Share Diversion Support'!L59)</f>
        <v>533.05499469190738</v>
      </c>
      <c r="M65" s="56">
        <f ca="1">('Light Vehicle Supporting Data'!M59+'Light Vehicle Supporting Data'!M80)*'Vehicle Share Diversion Support'!M59/(1-'Vehicle Share Diversion Support'!M59)</f>
        <v>823.35385697263473</v>
      </c>
      <c r="N65" s="56">
        <f ca="1">('Light Vehicle Supporting Data'!N59+'Light Vehicle Supporting Data'!N80)*'Vehicle Share Diversion Support'!N59/(1-'Vehicle Share Diversion Support'!N59)</f>
        <v>1124.7870156299318</v>
      </c>
      <c r="O65" s="56">
        <f ca="1">('Light Vehicle Supporting Data'!O59+'Light Vehicle Supporting Data'!O80)*'Vehicle Share Diversion Support'!O59/(1-'Vehicle Share Diversion Support'!O59)</f>
        <v>1447.695028698387</v>
      </c>
      <c r="P65" s="56">
        <f ca="1">('Light Vehicle Supporting Data'!P59+'Light Vehicle Supporting Data'!P80)*'Vehicle Share Diversion Support'!P59/(1-'Vehicle Share Diversion Support'!P59)</f>
        <v>1783.1591141772844</v>
      </c>
      <c r="Q65" s="57">
        <f ca="1">('Light Vehicle Supporting Data'!Q59+'Light Vehicle Supporting Data'!Q80)*'Vehicle Share Diversion Support'!Q59/(1-'Vehicle Share Diversion Support'!Q59)</f>
        <v>2130.8655176452567</v>
      </c>
    </row>
    <row r="66" spans="3:17" ht="16" thickBot="1" x14ac:dyDescent="0.4">
      <c r="C66" s="25" t="s">
        <v>13</v>
      </c>
      <c r="D66" s="58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f ca="1">('Light Vehicle Supporting Data'!J60+'Light Vehicle Supporting Data'!J81)*'Vehicle Share Diversion Support'!J60/(1-'Vehicle Share Diversion Support'!J60)</f>
        <v>0</v>
      </c>
      <c r="K66" s="59">
        <f ca="1">('Light Vehicle Supporting Data'!K60+'Light Vehicle Supporting Data'!K81)*'Vehicle Share Diversion Support'!K60/(1-'Vehicle Share Diversion Support'!K60)</f>
        <v>108.40701780026941</v>
      </c>
      <c r="L66" s="59">
        <f ca="1">('Light Vehicle Supporting Data'!L60+'Light Vehicle Supporting Data'!L81)*'Vehicle Share Diversion Support'!L60/(1-'Vehicle Share Diversion Support'!L60)</f>
        <v>216.40004698949946</v>
      </c>
      <c r="M66" s="59">
        <f ca="1">('Light Vehicle Supporting Data'!M60+'Light Vehicle Supporting Data'!M81)*'Vehicle Share Diversion Support'!M60/(1-'Vehicle Share Diversion Support'!M60)</f>
        <v>320.76876510285598</v>
      </c>
      <c r="N66" s="59">
        <f ca="1">('Light Vehicle Supporting Data'!N60+'Light Vehicle Supporting Data'!N81)*'Vehicle Share Diversion Support'!N60/(1-'Vehicle Share Diversion Support'!N60)</f>
        <v>420.69609416117544</v>
      </c>
      <c r="O66" s="59">
        <f ca="1">('Light Vehicle Supporting Data'!O60+'Light Vehicle Supporting Data'!O81)*'Vehicle Share Diversion Support'!O60/(1-'Vehicle Share Diversion Support'!O60)</f>
        <v>519.21940619645761</v>
      </c>
      <c r="P66" s="59">
        <f ca="1">('Light Vehicle Supporting Data'!P60+'Light Vehicle Supporting Data'!P81)*'Vehicle Share Diversion Support'!P60/(1-'Vehicle Share Diversion Support'!P60)</f>
        <v>613.22873994764461</v>
      </c>
      <c r="Q66" s="60">
        <f ca="1">('Light Vehicle Supporting Data'!Q60+'Light Vehicle Supporting Data'!Q81)*'Vehicle Share Diversion Support'!Q60/(1-'Vehicle Share Diversion Support'!Q60)</f>
        <v>702.6315698633174</v>
      </c>
    </row>
    <row r="67" spans="3:17" ht="16.5" thickTop="1" thickBot="1" x14ac:dyDescent="0.4">
      <c r="C67" s="31" t="s">
        <v>24</v>
      </c>
      <c r="D67" s="61">
        <f>SUM(D53:D66)</f>
        <v>0</v>
      </c>
      <c r="E67" s="62">
        <f t="shared" ref="E67:N67" si="8">SUM(E53:E66)</f>
        <v>0</v>
      </c>
      <c r="F67" s="62">
        <f t="shared" si="8"/>
        <v>0</v>
      </c>
      <c r="G67" s="62">
        <f t="shared" si="8"/>
        <v>0</v>
      </c>
      <c r="H67" s="62">
        <f t="shared" si="8"/>
        <v>0</v>
      </c>
      <c r="I67" s="62">
        <f t="shared" si="8"/>
        <v>0</v>
      </c>
      <c r="J67" s="62">
        <f t="shared" ca="1" si="8"/>
        <v>0</v>
      </c>
      <c r="K67" s="62">
        <f t="shared" ca="1" si="8"/>
        <v>5656.2703119456955</v>
      </c>
      <c r="L67" s="62">
        <f t="shared" ca="1" si="8"/>
        <v>11685.101506927336</v>
      </c>
      <c r="M67" s="62">
        <f t="shared" ca="1" si="8"/>
        <v>17912.956832323252</v>
      </c>
      <c r="N67" s="62">
        <f t="shared" ca="1" si="8"/>
        <v>24283.577914355021</v>
      </c>
      <c r="O67" s="62">
        <f t="shared" ref="O67:Q67" ca="1" si="9">SUM(O53:O66)</f>
        <v>30996.814747212262</v>
      </c>
      <c r="P67" s="62">
        <f t="shared" ca="1" si="9"/>
        <v>37868.344013411668</v>
      </c>
      <c r="Q67" s="63">
        <f t="shared" ca="1" si="9"/>
        <v>44883.994178128356</v>
      </c>
    </row>
    <row r="68" spans="3:17" ht="16" thickTop="1" x14ac:dyDescent="0.35">
      <c r="C68" s="154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53"/>
      <c r="P68" s="53"/>
      <c r="Q68" s="53"/>
    </row>
    <row r="69" spans="3:17" ht="15.5" x14ac:dyDescent="0.35">
      <c r="C69" s="128"/>
      <c r="D69" s="167"/>
    </row>
    <row r="70" spans="3:17" ht="16" thickBot="1" x14ac:dyDescent="0.4">
      <c r="C70" s="170"/>
      <c r="D70" s="171"/>
    </row>
    <row r="71" spans="3:17" ht="16" thickTop="1" x14ac:dyDescent="0.35">
      <c r="C71" s="32" t="s">
        <v>144</v>
      </c>
      <c r="D71" s="33"/>
      <c r="E71" s="33"/>
      <c r="F71" s="33"/>
      <c r="G71" s="33"/>
      <c r="H71" s="33"/>
      <c r="I71" s="33"/>
      <c r="J71" s="34"/>
      <c r="K71" s="34"/>
      <c r="L71" s="34"/>
      <c r="M71" s="34"/>
      <c r="N71" s="34"/>
      <c r="O71" s="34"/>
      <c r="P71" s="34"/>
      <c r="Q71" s="35"/>
    </row>
    <row r="72" spans="3:17" ht="13.5" thickBot="1" x14ac:dyDescent="0.35">
      <c r="C72" s="36"/>
      <c r="D72" s="37" t="s">
        <v>25</v>
      </c>
      <c r="E72" s="37" t="s">
        <v>37</v>
      </c>
      <c r="F72" s="37" t="s">
        <v>38</v>
      </c>
      <c r="G72" s="37" t="s">
        <v>177</v>
      </c>
      <c r="H72" s="37" t="s">
        <v>178</v>
      </c>
      <c r="I72" s="37" t="s">
        <v>26</v>
      </c>
      <c r="J72" s="37" t="s">
        <v>27</v>
      </c>
      <c r="K72" s="37" t="s">
        <v>28</v>
      </c>
      <c r="L72" s="37" t="s">
        <v>29</v>
      </c>
      <c r="M72" s="37" t="s">
        <v>30</v>
      </c>
      <c r="N72" s="37" t="s">
        <v>31</v>
      </c>
      <c r="O72" s="37" t="s">
        <v>174</v>
      </c>
      <c r="P72" s="37" t="s">
        <v>175</v>
      </c>
      <c r="Q72" s="38" t="s">
        <v>176</v>
      </c>
    </row>
    <row r="73" spans="3:17" ht="14" thickTop="1" thickBot="1" x14ac:dyDescent="0.35">
      <c r="C73" s="18"/>
      <c r="D73" s="65" t="s">
        <v>39</v>
      </c>
      <c r="E73" s="65" t="s">
        <v>39</v>
      </c>
      <c r="F73" s="65" t="s">
        <v>39</v>
      </c>
      <c r="G73" s="65" t="s">
        <v>39</v>
      </c>
      <c r="H73" s="65" t="s">
        <v>39</v>
      </c>
      <c r="I73" s="65" t="s">
        <v>32</v>
      </c>
      <c r="J73" s="65" t="s">
        <v>32</v>
      </c>
      <c r="K73" s="65" t="s">
        <v>32</v>
      </c>
      <c r="L73" s="65" t="s">
        <v>32</v>
      </c>
      <c r="M73" s="65" t="s">
        <v>32</v>
      </c>
      <c r="N73" s="65" t="s">
        <v>32</v>
      </c>
      <c r="O73" s="65" t="s">
        <v>32</v>
      </c>
      <c r="P73" s="65" t="s">
        <v>32</v>
      </c>
      <c r="Q73" s="66" t="s">
        <v>32</v>
      </c>
    </row>
    <row r="74" spans="3:17" ht="16" thickTop="1" x14ac:dyDescent="0.35">
      <c r="C74" s="27" t="s">
        <v>0</v>
      </c>
      <c r="D74" s="86">
        <f ca="1">D32-D53</f>
        <v>0.75976041549999995</v>
      </c>
      <c r="E74" s="87">
        <f t="shared" ref="E74:N74" ca="1" si="10">E32-E53</f>
        <v>0.78227748950699305</v>
      </c>
      <c r="F74" s="87">
        <f t="shared" ca="1" si="10"/>
        <v>0.80479456351398615</v>
      </c>
      <c r="G74" s="87">
        <f t="shared" ca="1" si="10"/>
        <v>0.82731163752097925</v>
      </c>
      <c r="H74" s="87">
        <f t="shared" ca="1" si="10"/>
        <v>0.84982871152797235</v>
      </c>
      <c r="I74" s="87">
        <f t="shared" ca="1" si="10"/>
        <v>0.87234578553496545</v>
      </c>
      <c r="J74" s="87">
        <f t="shared" ca="1" si="10"/>
        <v>0.96408812070281047</v>
      </c>
      <c r="K74" s="87">
        <f t="shared" ca="1" si="10"/>
        <v>1.045967942739594</v>
      </c>
      <c r="L74" s="87">
        <f t="shared" ca="1" si="10"/>
        <v>1.1136182213401753</v>
      </c>
      <c r="M74" s="87">
        <f t="shared" ca="1" si="10"/>
        <v>1.1614535905729326</v>
      </c>
      <c r="N74" s="87">
        <f t="shared" ca="1" si="10"/>
        <v>1.202903920828021</v>
      </c>
      <c r="O74" s="87">
        <f t="shared" ref="O74:P74" ca="1" si="11">O32-O53</f>
        <v>1.2160242766731244</v>
      </c>
      <c r="P74" s="87">
        <f t="shared" ca="1" si="11"/>
        <v>1.2258719534158899</v>
      </c>
      <c r="Q74" s="88">
        <f t="shared" ref="Q74" ca="1" si="12">Q32-Q53</f>
        <v>1.2336548685475464</v>
      </c>
    </row>
    <row r="75" spans="3:17" ht="15.5" x14ac:dyDescent="0.35">
      <c r="C75" s="24" t="s">
        <v>1</v>
      </c>
      <c r="D75" s="89">
        <f t="shared" ref="D75:N75" ca="1" si="13">D33-D54</f>
        <v>41.157157814999998</v>
      </c>
      <c r="E75" s="90">
        <f t="shared" ca="1" si="13"/>
        <v>42.610351711027533</v>
      </c>
      <c r="F75" s="90">
        <f t="shared" ca="1" si="13"/>
        <v>44.063545607055076</v>
      </c>
      <c r="G75" s="90">
        <f t="shared" ca="1" si="13"/>
        <v>45.516739503082604</v>
      </c>
      <c r="H75" s="90">
        <f t="shared" ca="1" si="13"/>
        <v>46.969933399110154</v>
      </c>
      <c r="I75" s="90">
        <f t="shared" ca="1" si="13"/>
        <v>48.423127295137689</v>
      </c>
      <c r="J75" s="90">
        <f t="shared" ca="1" si="13"/>
        <v>54.652826859218308</v>
      </c>
      <c r="K75" s="90">
        <f t="shared" ca="1" si="13"/>
        <v>60.28340296238639</v>
      </c>
      <c r="L75" s="90">
        <f t="shared" ca="1" si="13"/>
        <v>65.340451436701642</v>
      </c>
      <c r="M75" s="90">
        <f t="shared" ca="1" si="13"/>
        <v>69.380033409425778</v>
      </c>
      <c r="N75" s="90">
        <f t="shared" ca="1" si="13"/>
        <v>73.225606340326522</v>
      </c>
      <c r="O75" s="56">
        <f t="shared" ref="O75" ca="1" si="14">O33-O54</f>
        <v>75.422544916085826</v>
      </c>
      <c r="P75" s="56">
        <f t="shared" ref="P75:Q75" ca="1" si="15">P33-P54</f>
        <v>77.455660302235628</v>
      </c>
      <c r="Q75" s="57">
        <f t="shared" ca="1" si="15"/>
        <v>79.390379008473246</v>
      </c>
    </row>
    <row r="76" spans="3:17" ht="15.5" x14ac:dyDescent="0.35">
      <c r="C76" s="24" t="s">
        <v>2</v>
      </c>
      <c r="D76" s="89">
        <f t="shared" ref="D76:N76" ca="1" si="16">D34-D55</f>
        <v>2.4426175743999998</v>
      </c>
      <c r="E76" s="90">
        <f t="shared" ca="1" si="16"/>
        <v>2.521459096882527</v>
      </c>
      <c r="F76" s="90">
        <f t="shared" ca="1" si="16"/>
        <v>2.6003006193650546</v>
      </c>
      <c r="G76" s="90">
        <f t="shared" ca="1" si="16"/>
        <v>2.6791421418475823</v>
      </c>
      <c r="H76" s="90">
        <f t="shared" ca="1" si="16"/>
        <v>2.7579836643301094</v>
      </c>
      <c r="I76" s="90">
        <f t="shared" ca="1" si="16"/>
        <v>2.8368251868126371</v>
      </c>
      <c r="J76" s="90">
        <f t="shared" ca="1" si="16"/>
        <v>3.143816927924282</v>
      </c>
      <c r="K76" s="90">
        <f t="shared" ca="1" si="16"/>
        <v>3.4175248880378604</v>
      </c>
      <c r="L76" s="90">
        <f t="shared" ca="1" si="16"/>
        <v>3.648759257425354</v>
      </c>
      <c r="M76" s="90">
        <f t="shared" ca="1" si="16"/>
        <v>3.8155184962788553</v>
      </c>
      <c r="N76" s="90">
        <f t="shared" ca="1" si="16"/>
        <v>3.9649362998716242</v>
      </c>
      <c r="O76" s="56">
        <f t="shared" ref="O76" ca="1" si="17">O34-O55</f>
        <v>4.0197570180175717</v>
      </c>
      <c r="P76" s="56">
        <f t="shared" ref="P76:Q76" ca="1" si="18">P34-P55</f>
        <v>4.0620844887334897</v>
      </c>
      <c r="Q76" s="57">
        <f t="shared" ca="1" si="18"/>
        <v>4.0957473788539573</v>
      </c>
    </row>
    <row r="77" spans="3:17" ht="15.5" x14ac:dyDescent="0.35">
      <c r="C77" s="24" t="s">
        <v>3</v>
      </c>
      <c r="D77" s="89">
        <f t="shared" ref="D77:N77" ca="1" si="19">D35-D56</f>
        <v>0.98369936449999995</v>
      </c>
      <c r="E77" s="90">
        <f t="shared" ca="1" si="19"/>
        <v>1.0120341730227331</v>
      </c>
      <c r="F77" s="90">
        <f t="shared" ca="1" si="19"/>
        <v>1.0403689815454662</v>
      </c>
      <c r="G77" s="90">
        <f t="shared" ca="1" si="19"/>
        <v>1.0687037900681995</v>
      </c>
      <c r="H77" s="90">
        <f t="shared" ca="1" si="19"/>
        <v>1.0970385985909328</v>
      </c>
      <c r="I77" s="90">
        <f t="shared" ca="1" si="19"/>
        <v>1.1253734071136658</v>
      </c>
      <c r="J77" s="90">
        <f t="shared" ca="1" si="19"/>
        <v>1.2359941902045979</v>
      </c>
      <c r="K77" s="90">
        <f t="shared" ca="1" si="19"/>
        <v>1.333722712433655</v>
      </c>
      <c r="L77" s="90">
        <f t="shared" ca="1" si="19"/>
        <v>1.4136461560150337</v>
      </c>
      <c r="M77" s="90">
        <f t="shared" ca="1" si="19"/>
        <v>1.4671927607671478</v>
      </c>
      <c r="N77" s="90">
        <f t="shared" ca="1" si="19"/>
        <v>1.5134764947517851</v>
      </c>
      <c r="O77" s="56">
        <f t="shared" ref="O77" ca="1" si="20">O35-O56</f>
        <v>1.523077710246298</v>
      </c>
      <c r="P77" s="56">
        <f t="shared" ref="P77:Q77" ca="1" si="21">P35-P56</f>
        <v>1.5276720838865003</v>
      </c>
      <c r="Q77" s="57">
        <f t="shared" ca="1" si="21"/>
        <v>1.5287925760471808</v>
      </c>
    </row>
    <row r="78" spans="3:17" ht="15.5" x14ac:dyDescent="0.35">
      <c r="C78" s="24" t="s">
        <v>4</v>
      </c>
      <c r="D78" s="89">
        <f t="shared" ref="D78:N78" ca="1" si="22">D36-D57</f>
        <v>0.1174510768</v>
      </c>
      <c r="E78" s="90">
        <f t="shared" ca="1" si="22"/>
        <v>0.11965503343177256</v>
      </c>
      <c r="F78" s="90">
        <f t="shared" ca="1" si="22"/>
        <v>0.12185899006354511</v>
      </c>
      <c r="G78" s="90">
        <f t="shared" ca="1" si="22"/>
        <v>0.12406294669531764</v>
      </c>
      <c r="H78" s="90">
        <f t="shared" ca="1" si="22"/>
        <v>0.1262669033270902</v>
      </c>
      <c r="I78" s="90">
        <f t="shared" ca="1" si="22"/>
        <v>0.12847085995886276</v>
      </c>
      <c r="J78" s="90">
        <f t="shared" ca="1" si="22"/>
        <v>0.13757657370376708</v>
      </c>
      <c r="K78" s="90">
        <f t="shared" ca="1" si="22"/>
        <v>0.14555920583037363</v>
      </c>
      <c r="L78" s="90">
        <f t="shared" ca="1" si="22"/>
        <v>0.15140650628958952</v>
      </c>
      <c r="M78" s="90">
        <f t="shared" ca="1" si="22"/>
        <v>0.15410528478315655</v>
      </c>
      <c r="N78" s="90">
        <f t="shared" ca="1" si="22"/>
        <v>0.15600865840337974</v>
      </c>
      <c r="O78" s="56">
        <f t="shared" ref="O78" ca="1" si="23">O36-O57</f>
        <v>0.15409597088168425</v>
      </c>
      <c r="P78" s="56">
        <f t="shared" ref="P78:Q78" ca="1" si="24">P36-P57</f>
        <v>0.15172294484210624</v>
      </c>
      <c r="Q78" s="57">
        <f t="shared" ca="1" si="24"/>
        <v>0.14906632247840435</v>
      </c>
    </row>
    <row r="79" spans="3:17" ht="15.5" x14ac:dyDescent="0.35">
      <c r="C79" s="24" t="s">
        <v>5</v>
      </c>
      <c r="D79" s="89">
        <f t="shared" ref="D79:N79" ca="1" si="25">D37-D58</f>
        <v>1.7589425135000001</v>
      </c>
      <c r="E79" s="90">
        <f t="shared" ca="1" si="25"/>
        <v>1.8065594061548518</v>
      </c>
      <c r="F79" s="90">
        <f t="shared" ca="1" si="25"/>
        <v>1.8541762988097035</v>
      </c>
      <c r="G79" s="90">
        <f t="shared" ca="1" si="25"/>
        <v>1.9017931914645554</v>
      </c>
      <c r="H79" s="90">
        <f t="shared" ca="1" si="25"/>
        <v>1.9494100841194073</v>
      </c>
      <c r="I79" s="90">
        <f t="shared" ca="1" si="25"/>
        <v>1.997026976774259</v>
      </c>
      <c r="J79" s="90">
        <f t="shared" ca="1" si="25"/>
        <v>2.1921375100873339</v>
      </c>
      <c r="K79" s="90">
        <f t="shared" ca="1" si="25"/>
        <v>2.365999170776405</v>
      </c>
      <c r="L79" s="90">
        <f t="shared" ca="1" si="25"/>
        <v>2.5088001199938503</v>
      </c>
      <c r="M79" s="90">
        <f t="shared" ca="1" si="25"/>
        <v>2.607295766765219</v>
      </c>
      <c r="N79" s="90">
        <f t="shared" ca="1" si="25"/>
        <v>2.6960759572205006</v>
      </c>
      <c r="O79" s="56">
        <f t="shared" ref="O79" ca="1" si="26">O37-O58</f>
        <v>2.7217733279292133</v>
      </c>
      <c r="P79" s="56">
        <f t="shared" ref="P79:Q79" ca="1" si="27">P37-P58</f>
        <v>2.7406755360807438</v>
      </c>
      <c r="Q79" s="57">
        <f t="shared" ca="1" si="27"/>
        <v>2.755507224271696</v>
      </c>
    </row>
    <row r="80" spans="3:17" ht="15.5" x14ac:dyDescent="0.35">
      <c r="C80" s="24" t="s">
        <v>6</v>
      </c>
      <c r="D80" s="89">
        <f t="shared" ref="D80:N80" ca="1" si="28">D38-D59</f>
        <v>1.1335038904000001</v>
      </c>
      <c r="E80" s="90">
        <f t="shared" ca="1" si="28"/>
        <v>1.1665175916700898</v>
      </c>
      <c r="F80" s="90">
        <f t="shared" ca="1" si="28"/>
        <v>1.1995312929401796</v>
      </c>
      <c r="G80" s="90">
        <f t="shared" ca="1" si="28"/>
        <v>1.2325449942102695</v>
      </c>
      <c r="H80" s="90">
        <f t="shared" ca="1" si="28"/>
        <v>1.2655586954803593</v>
      </c>
      <c r="I80" s="90">
        <f t="shared" ca="1" si="28"/>
        <v>1.298572396750449</v>
      </c>
      <c r="J80" s="90">
        <f t="shared" ca="1" si="28"/>
        <v>1.4374520954917469</v>
      </c>
      <c r="K80" s="90">
        <f t="shared" ca="1" si="28"/>
        <v>1.5627115631428978</v>
      </c>
      <c r="L80" s="90">
        <f t="shared" ca="1" si="28"/>
        <v>1.6708419879741427</v>
      </c>
      <c r="M80" s="90">
        <f t="shared" ca="1" si="28"/>
        <v>1.7515959354151391</v>
      </c>
      <c r="N80" s="90">
        <f t="shared" ca="1" si="28"/>
        <v>1.826868090256994</v>
      </c>
      <c r="O80" s="56">
        <f t="shared" ref="O80" ca="1" si="29">O38-O59</f>
        <v>1.8598488819964132</v>
      </c>
      <c r="P80" s="56">
        <f t="shared" ref="P80:Q80" ca="1" si="30">P38-P59</f>
        <v>1.8882169201262968</v>
      </c>
      <c r="Q80" s="57">
        <f t="shared" ca="1" si="30"/>
        <v>1.9137322089545705</v>
      </c>
    </row>
    <row r="81" spans="3:17" ht="15.5" x14ac:dyDescent="0.35">
      <c r="C81" s="24" t="s">
        <v>7</v>
      </c>
      <c r="D81" s="89">
        <f t="shared" ref="D81:N81" ca="1" si="31">D39-D60</f>
        <v>5.6344181790999999</v>
      </c>
      <c r="E81" s="90">
        <f t="shared" ca="1" si="31"/>
        <v>5.7732240936823569</v>
      </c>
      <c r="F81" s="90">
        <f t="shared" ca="1" si="31"/>
        <v>5.9120300082647148</v>
      </c>
      <c r="G81" s="90">
        <f t="shared" ca="1" si="31"/>
        <v>6.0508359228470709</v>
      </c>
      <c r="H81" s="90">
        <f t="shared" ca="1" si="31"/>
        <v>6.1896418374294289</v>
      </c>
      <c r="I81" s="90">
        <f t="shared" ca="1" si="31"/>
        <v>6.328447752011785</v>
      </c>
      <c r="J81" s="90">
        <f t="shared" ca="1" si="31"/>
        <v>6.862999375423505</v>
      </c>
      <c r="K81" s="90">
        <f t="shared" ca="1" si="31"/>
        <v>7.3328263176817359</v>
      </c>
      <c r="L81" s="90">
        <f t="shared" ca="1" si="31"/>
        <v>7.6984053010930893</v>
      </c>
      <c r="M81" s="90">
        <f t="shared" ca="1" si="31"/>
        <v>7.9209664954574919</v>
      </c>
      <c r="N81" s="90">
        <f t="shared" ca="1" si="31"/>
        <v>8.0993801789386453</v>
      </c>
      <c r="O81" s="56">
        <f t="shared" ref="O81" ca="1" si="32">O39-O60</f>
        <v>8.0848363822904048</v>
      </c>
      <c r="P81" s="56">
        <f t="shared" ref="P81:Q81" ca="1" si="33">P39-P60</f>
        <v>8.0491686580060104</v>
      </c>
      <c r="Q81" s="57">
        <f t="shared" ca="1" si="33"/>
        <v>8.0011153833861499</v>
      </c>
    </row>
    <row r="82" spans="3:17" ht="15.5" x14ac:dyDescent="0.35">
      <c r="C82" s="24" t="s">
        <v>8</v>
      </c>
      <c r="D82" s="89">
        <f t="shared" ref="D82:N82" ca="1" si="34">D40-D61</f>
        <v>19.359252680000001</v>
      </c>
      <c r="E82" s="90">
        <f t="shared" ca="1" si="34"/>
        <v>19.947755612676914</v>
      </c>
      <c r="F82" s="90">
        <f t="shared" ca="1" si="34"/>
        <v>20.536258545353824</v>
      </c>
      <c r="G82" s="90">
        <f t="shared" ca="1" si="34"/>
        <v>21.124761478030734</v>
      </c>
      <c r="H82" s="90">
        <f t="shared" ca="1" si="34"/>
        <v>21.713264410707648</v>
      </c>
      <c r="I82" s="90">
        <f t="shared" ca="1" si="34"/>
        <v>22.301767343384562</v>
      </c>
      <c r="J82" s="90">
        <f t="shared" ca="1" si="34"/>
        <v>24.780364585440434</v>
      </c>
      <c r="K82" s="90">
        <f t="shared" ca="1" si="34"/>
        <v>27.03630943505857</v>
      </c>
      <c r="L82" s="90">
        <f t="shared" ca="1" si="34"/>
        <v>28.986312311891879</v>
      </c>
      <c r="M82" s="90">
        <f t="shared" ca="1" si="34"/>
        <v>30.451166859947989</v>
      </c>
      <c r="N82" s="90">
        <f t="shared" ca="1" si="34"/>
        <v>31.79825978361032</v>
      </c>
      <c r="O82" s="56">
        <f t="shared" ref="O82" ca="1" si="35">O40-O61</f>
        <v>32.405170448466379</v>
      </c>
      <c r="P82" s="56">
        <f t="shared" ref="P82:Q82" ca="1" si="36">P40-P61</f>
        <v>32.926495842023542</v>
      </c>
      <c r="Q82" s="57">
        <f t="shared" ca="1" si="36"/>
        <v>33.392618048342229</v>
      </c>
    </row>
    <row r="83" spans="3:17" ht="15.5" x14ac:dyDescent="0.35">
      <c r="C83" s="24" t="s">
        <v>9</v>
      </c>
      <c r="D83" s="89">
        <f t="shared" ref="D83:N83" ca="1" si="37">D41-D62</f>
        <v>2.5483198348</v>
      </c>
      <c r="E83" s="90">
        <f t="shared" ca="1" si="37"/>
        <v>2.6051112727856638</v>
      </c>
      <c r="F83" s="90">
        <f t="shared" ca="1" si="37"/>
        <v>2.6619027107713276</v>
      </c>
      <c r="G83" s="90">
        <f t="shared" ca="1" si="37"/>
        <v>2.7186941487569909</v>
      </c>
      <c r="H83" s="90">
        <f t="shared" ca="1" si="37"/>
        <v>2.7754855867426551</v>
      </c>
      <c r="I83" s="90">
        <f t="shared" ca="1" si="37"/>
        <v>2.8322770247283184</v>
      </c>
      <c r="J83" s="90">
        <f t="shared" ca="1" si="37"/>
        <v>3.0676368733445356</v>
      </c>
      <c r="K83" s="90">
        <f t="shared" ca="1" si="37"/>
        <v>3.2776646619624614</v>
      </c>
      <c r="L83" s="90">
        <f t="shared" ca="1" si="37"/>
        <v>3.4408050229877745</v>
      </c>
      <c r="M83" s="90">
        <f t="shared" ca="1" si="37"/>
        <v>3.5377316364849776</v>
      </c>
      <c r="N83" s="90">
        <f t="shared" ca="1" si="37"/>
        <v>3.6096843445454851</v>
      </c>
      <c r="O83" s="56">
        <f t="shared" ref="O83" ca="1" si="38">O41-O62</f>
        <v>3.5937301032178084</v>
      </c>
      <c r="P83" s="56">
        <f t="shared" ref="P83:Q83" ca="1" si="39">P41-P62</f>
        <v>3.566642590819356</v>
      </c>
      <c r="Q83" s="57">
        <f t="shared" ca="1" si="39"/>
        <v>3.5323403702102496</v>
      </c>
    </row>
    <row r="84" spans="3:17" ht="15.5" x14ac:dyDescent="0.35">
      <c r="C84" s="24" t="s">
        <v>10</v>
      </c>
      <c r="D84" s="89">
        <f t="shared" ref="D84:N84" ca="1" si="40">D42-D63</f>
        <v>1.6916956777000001</v>
      </c>
      <c r="E84" s="90">
        <f t="shared" ca="1" si="40"/>
        <v>1.7065603721393179</v>
      </c>
      <c r="F84" s="90">
        <f t="shared" ca="1" si="40"/>
        <v>1.7214250665786359</v>
      </c>
      <c r="G84" s="90">
        <f t="shared" ca="1" si="40"/>
        <v>1.7362897610179537</v>
      </c>
      <c r="H84" s="90">
        <f t="shared" ca="1" si="40"/>
        <v>1.7511544554572718</v>
      </c>
      <c r="I84" s="90">
        <f t="shared" ca="1" si="40"/>
        <v>1.7660191498965896</v>
      </c>
      <c r="J84" s="90">
        <f t="shared" ca="1" si="40"/>
        <v>1.8567355654028863</v>
      </c>
      <c r="K84" s="90">
        <f t="shared" ca="1" si="40"/>
        <v>1.9289516871823267</v>
      </c>
      <c r="L84" s="90">
        <f t="shared" ca="1" si="40"/>
        <v>1.9697739568539845</v>
      </c>
      <c r="M84" s="90">
        <f t="shared" ca="1" si="40"/>
        <v>1.971093871970595</v>
      </c>
      <c r="N84" s="90">
        <f t="shared" ca="1" si="40"/>
        <v>1.9625409977155641</v>
      </c>
      <c r="O84" s="56">
        <f t="shared" ref="O84" ca="1" si="41">O42-O63</f>
        <v>1.906520940367642</v>
      </c>
      <c r="P84" s="56">
        <f t="shared" ref="P84:Q84" ca="1" si="42">P42-P63</f>
        <v>1.8462130659657987</v>
      </c>
      <c r="Q84" s="57">
        <f t="shared" ca="1" si="42"/>
        <v>1.7839815336106142</v>
      </c>
    </row>
    <row r="85" spans="3:17" ht="15.5" x14ac:dyDescent="0.35">
      <c r="C85" s="24" t="s">
        <v>11</v>
      </c>
      <c r="D85" s="89">
        <f t="shared" ref="D85:N85" ca="1" si="43">D43-D64</f>
        <v>16.530142167000001</v>
      </c>
      <c r="E85" s="90">
        <f t="shared" ca="1" si="43"/>
        <v>17.158172064390826</v>
      </c>
      <c r="F85" s="90">
        <f t="shared" ca="1" si="43"/>
        <v>17.78620196178165</v>
      </c>
      <c r="G85" s="90">
        <f t="shared" ca="1" si="43"/>
        <v>18.414231859172478</v>
      </c>
      <c r="H85" s="90">
        <f t="shared" ca="1" si="43"/>
        <v>19.042261756563303</v>
      </c>
      <c r="I85" s="90">
        <f t="shared" ca="1" si="43"/>
        <v>19.670291653954127</v>
      </c>
      <c r="J85" s="90">
        <f t="shared" ca="1" si="43"/>
        <v>22.268062466783064</v>
      </c>
      <c r="K85" s="90">
        <f t="shared" ca="1" si="43"/>
        <v>24.596530623567787</v>
      </c>
      <c r="L85" s="90">
        <f t="shared" ca="1" si="43"/>
        <v>26.682525124442236</v>
      </c>
      <c r="M85" s="90">
        <f t="shared" ca="1" si="43"/>
        <v>28.361136537274888</v>
      </c>
      <c r="N85" s="90">
        <f t="shared" ca="1" si="43"/>
        <v>29.959715631971449</v>
      </c>
      <c r="O85" s="56">
        <f t="shared" ref="O85" ca="1" si="44">O43-O64</f>
        <v>30.881606023929635</v>
      </c>
      <c r="P85" s="56">
        <f t="shared" ref="P85:Q85" ca="1" si="45">P43-P64</f>
        <v>31.73331018387762</v>
      </c>
      <c r="Q85" s="57">
        <f t="shared" ca="1" si="45"/>
        <v>32.541255102664763</v>
      </c>
    </row>
    <row r="86" spans="3:17" ht="15.5" x14ac:dyDescent="0.35">
      <c r="C86" s="24" t="s">
        <v>12</v>
      </c>
      <c r="D86" s="89">
        <f t="shared" ref="D86:N86" ca="1" si="46">D44-D65</f>
        <v>7.2892681777000004</v>
      </c>
      <c r="E86" s="90">
        <f t="shared" ca="1" si="46"/>
        <v>7.5623395541304301</v>
      </c>
      <c r="F86" s="90">
        <f t="shared" ca="1" si="46"/>
        <v>7.8354109305608608</v>
      </c>
      <c r="G86" s="90">
        <f t="shared" ca="1" si="46"/>
        <v>8.1084823069912915</v>
      </c>
      <c r="H86" s="90">
        <f t="shared" ca="1" si="46"/>
        <v>8.3815536834217212</v>
      </c>
      <c r="I86" s="90">
        <f t="shared" ca="1" si="46"/>
        <v>8.6546250598521528</v>
      </c>
      <c r="J86" s="90">
        <f t="shared" ca="1" si="46"/>
        <v>9.7713399532015686</v>
      </c>
      <c r="K86" s="90">
        <f t="shared" ca="1" si="46"/>
        <v>10.739783553318489</v>
      </c>
      <c r="L86" s="90">
        <f t="shared" ca="1" si="46"/>
        <v>11.596445982916748</v>
      </c>
      <c r="M86" s="90">
        <f t="shared" ca="1" si="46"/>
        <v>12.264043107110183</v>
      </c>
      <c r="N86" s="90">
        <f t="shared" ca="1" si="46"/>
        <v>12.894397539170768</v>
      </c>
      <c r="O86" s="56">
        <f t="shared" ref="O86" ca="1" si="47">O44-O65</f>
        <v>13.228011241645618</v>
      </c>
      <c r="P86" s="56">
        <f t="shared" ref="P86:Q86" ca="1" si="48">P44-P65</f>
        <v>13.527654842576339</v>
      </c>
      <c r="Q86" s="57">
        <f t="shared" ca="1" si="48"/>
        <v>13.805054014966572</v>
      </c>
    </row>
    <row r="87" spans="3:17" ht="16" thickBot="1" x14ac:dyDescent="0.4">
      <c r="C87" s="25" t="s">
        <v>13</v>
      </c>
      <c r="D87" s="91">
        <f t="shared" ref="D87:N87" ca="1" si="49">D45-D66</f>
        <v>1.2430116738999999</v>
      </c>
      <c r="E87" s="92">
        <f t="shared" ca="1" si="49"/>
        <v>1.2667104354856566</v>
      </c>
      <c r="F87" s="92">
        <f t="shared" ca="1" si="49"/>
        <v>1.2904091970713134</v>
      </c>
      <c r="G87" s="92">
        <f t="shared" ca="1" si="49"/>
        <v>1.3141079586569706</v>
      </c>
      <c r="H87" s="92">
        <f t="shared" ca="1" si="49"/>
        <v>1.3378067202426271</v>
      </c>
      <c r="I87" s="92">
        <f t="shared" ca="1" si="49"/>
        <v>1.3615054818282841</v>
      </c>
      <c r="J87" s="92">
        <f t="shared" ca="1" si="49"/>
        <v>1.4444298252702474</v>
      </c>
      <c r="K87" s="92">
        <f t="shared" ca="1" si="49"/>
        <v>1.5174433380254868</v>
      </c>
      <c r="L87" s="92">
        <f t="shared" ca="1" si="49"/>
        <v>1.5689870656588027</v>
      </c>
      <c r="M87" s="92">
        <f t="shared" ca="1" si="49"/>
        <v>1.5905914540676918</v>
      </c>
      <c r="N87" s="92">
        <f t="shared" ca="1" si="49"/>
        <v>1.6037186533209251</v>
      </c>
      <c r="O87" s="59">
        <f t="shared" ref="O87" ca="1" si="50">O45-O66</f>
        <v>1.5776444284833815</v>
      </c>
      <c r="P87" s="59">
        <f t="shared" ref="P87:Q87" ca="1" si="51">P45-P66</f>
        <v>1.5470611286365283</v>
      </c>
      <c r="Q87" s="60">
        <f t="shared" ca="1" si="51"/>
        <v>1.5138195662639191</v>
      </c>
    </row>
    <row r="88" spans="3:17" ht="16.5" thickTop="1" thickBot="1" x14ac:dyDescent="0.4">
      <c r="C88" s="31" t="s">
        <v>24</v>
      </c>
      <c r="D88" s="93">
        <f ca="1">SUM(D74:D87)</f>
        <v>102.6492410403</v>
      </c>
      <c r="E88" s="94">
        <f t="shared" ref="E88:Q88" ca="1" si="52">SUM(E74:E87)</f>
        <v>106.03872790698769</v>
      </c>
      <c r="F88" s="94">
        <f t="shared" ca="1" si="52"/>
        <v>109.42821477367532</v>
      </c>
      <c r="G88" s="94">
        <f t="shared" ca="1" si="52"/>
        <v>112.81770164036301</v>
      </c>
      <c r="H88" s="94">
        <f t="shared" ca="1" si="52"/>
        <v>116.20718850705067</v>
      </c>
      <c r="I88" s="94">
        <f t="shared" ca="1" si="52"/>
        <v>119.59667537373835</v>
      </c>
      <c r="J88" s="94">
        <f t="shared" ca="1" si="52"/>
        <v>133.81546092219909</v>
      </c>
      <c r="K88" s="94">
        <f t="shared" ca="1" si="52"/>
        <v>146.58439806214403</v>
      </c>
      <c r="L88" s="94">
        <f t="shared" ca="1" si="52"/>
        <v>157.79077845158429</v>
      </c>
      <c r="M88" s="94">
        <f t="shared" ca="1" si="52"/>
        <v>166.43392520632204</v>
      </c>
      <c r="N88" s="94">
        <f t="shared" ca="1" si="52"/>
        <v>174.51357289093198</v>
      </c>
      <c r="O88" s="94">
        <f t="shared" ca="1" si="52"/>
        <v>178.594641670231</v>
      </c>
      <c r="P88" s="94">
        <f t="shared" ca="1" si="52"/>
        <v>182.24845054122585</v>
      </c>
      <c r="Q88" s="95">
        <f t="shared" ca="1" si="52"/>
        <v>185.6370636070711</v>
      </c>
    </row>
    <row r="89" spans="3:17" ht="16" thickTop="1" x14ac:dyDescent="0.35">
      <c r="C89" s="154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</row>
    <row r="90" spans="3:17" ht="15.5" x14ac:dyDescent="0.35">
      <c r="C90" s="128"/>
      <c r="D90" s="167"/>
    </row>
    <row r="91" spans="3:17" ht="16" thickBot="1" x14ac:dyDescent="0.4">
      <c r="C91" s="170"/>
      <c r="D91" s="171"/>
    </row>
    <row r="92" spans="3:17" ht="16" thickTop="1" x14ac:dyDescent="0.35">
      <c r="C92" s="32" t="s">
        <v>145</v>
      </c>
      <c r="D92" s="33"/>
      <c r="E92" s="33"/>
      <c r="F92" s="33"/>
      <c r="G92" s="33"/>
      <c r="H92" s="33"/>
      <c r="I92" s="33"/>
      <c r="J92" s="34"/>
      <c r="K92" s="34"/>
      <c r="L92" s="34"/>
      <c r="M92" s="34"/>
      <c r="N92" s="34"/>
      <c r="O92" s="34"/>
      <c r="P92" s="34"/>
      <c r="Q92" s="35"/>
    </row>
    <row r="93" spans="3:17" ht="13.5" thickBot="1" x14ac:dyDescent="0.35">
      <c r="C93" s="36"/>
      <c r="D93" s="37" t="s">
        <v>25</v>
      </c>
      <c r="E93" s="37" t="s">
        <v>37</v>
      </c>
      <c r="F93" s="37" t="s">
        <v>38</v>
      </c>
      <c r="G93" s="37" t="s">
        <v>177</v>
      </c>
      <c r="H93" s="37" t="s">
        <v>178</v>
      </c>
      <c r="I93" s="37" t="s">
        <v>26</v>
      </c>
      <c r="J93" s="37" t="s">
        <v>27</v>
      </c>
      <c r="K93" s="37" t="s">
        <v>28</v>
      </c>
      <c r="L93" s="37" t="s">
        <v>29</v>
      </c>
      <c r="M93" s="37" t="s">
        <v>30</v>
      </c>
      <c r="N93" s="37" t="s">
        <v>31</v>
      </c>
      <c r="O93" s="37" t="s">
        <v>174</v>
      </c>
      <c r="P93" s="37" t="s">
        <v>175</v>
      </c>
      <c r="Q93" s="38" t="s">
        <v>176</v>
      </c>
    </row>
    <row r="94" spans="3:17" ht="14" thickTop="1" thickBot="1" x14ac:dyDescent="0.35">
      <c r="C94" s="18"/>
      <c r="D94" s="65" t="s">
        <v>39</v>
      </c>
      <c r="E94" s="65" t="s">
        <v>39</v>
      </c>
      <c r="F94" s="65" t="s">
        <v>39</v>
      </c>
      <c r="G94" s="65" t="s">
        <v>39</v>
      </c>
      <c r="H94" s="65" t="s">
        <v>39</v>
      </c>
      <c r="I94" s="65" t="s">
        <v>39</v>
      </c>
      <c r="J94" s="65" t="s">
        <v>32</v>
      </c>
      <c r="K94" s="65" t="s">
        <v>32</v>
      </c>
      <c r="L94" s="65" t="s">
        <v>32</v>
      </c>
      <c r="M94" s="65" t="s">
        <v>32</v>
      </c>
      <c r="N94" s="65" t="s">
        <v>32</v>
      </c>
      <c r="O94" s="65" t="s">
        <v>32</v>
      </c>
      <c r="P94" s="65" t="s">
        <v>32</v>
      </c>
      <c r="Q94" s="66" t="s">
        <v>32</v>
      </c>
    </row>
    <row r="95" spans="3:17" ht="16" thickTop="1" x14ac:dyDescent="0.35">
      <c r="C95" s="27" t="s">
        <v>0</v>
      </c>
      <c r="D95" s="86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f ca="1">(J53/'Household Vehicle Occupancy'!J89)*IF($C$2,(1-$I11),1)</f>
        <v>0</v>
      </c>
      <c r="K95" s="87">
        <f ca="1">(K53/'Household Vehicle Occupancy'!K89)*IF($C$2,(1-$I11),1)</f>
        <v>170.30137906879116</v>
      </c>
      <c r="L95" s="87">
        <f ca="1">(L53/'Household Vehicle Occupancy'!L89)*IF($C$2,(1-$I11),1)</f>
        <v>352.87314231112748</v>
      </c>
      <c r="M95" s="87">
        <f ca="1">(M53/'Household Vehicle Occupancy'!M89)*IF($C$2,(1-$I11),1)</f>
        <v>541.60360668454382</v>
      </c>
      <c r="N95" s="87">
        <f ca="1">(N53/'Household Vehicle Occupancy'!N89)*IF($C$2,(1-$I11),1)</f>
        <v>734.39938294067781</v>
      </c>
      <c r="O95" s="87">
        <f ca="1">(O53/'Household Vehicle Occupancy'!O89)*IF($C$2,(1-$I11),1)</f>
        <v>931.25982166808649</v>
      </c>
      <c r="P95" s="87">
        <f ca="1">(P53/'Household Vehicle Occupancy'!P89)*IF($C$2,(1-$I11),1)</f>
        <v>1130.5051044598781</v>
      </c>
      <c r="Q95" s="88">
        <f ca="1">(Q53/'Household Vehicle Occupancy'!Q89)*IF($C$2,(1-$I11),1)</f>
        <v>1331.9410738904023</v>
      </c>
    </row>
    <row r="96" spans="3:17" ht="15.5" x14ac:dyDescent="0.35">
      <c r="C96" s="24" t="s">
        <v>1</v>
      </c>
      <c r="D96" s="89">
        <v>0</v>
      </c>
      <c r="E96" s="90">
        <v>0</v>
      </c>
      <c r="F96" s="90">
        <v>0</v>
      </c>
      <c r="G96" s="90">
        <v>0</v>
      </c>
      <c r="H96" s="90">
        <v>0</v>
      </c>
      <c r="I96" s="90">
        <v>0</v>
      </c>
      <c r="J96" s="90">
        <f ca="1">(J54/'Household Vehicle Occupancy'!J90)*IF($C$2,(1-$I12),1)</f>
        <v>0</v>
      </c>
      <c r="K96" s="90">
        <f ca="1">(K54/'Household Vehicle Occupancy'!K90)*IF($C$2,(1-$I12),1)</f>
        <v>1045.1572463269192</v>
      </c>
      <c r="L96" s="90">
        <f ca="1">(L54/'Household Vehicle Occupancy'!L90)*IF($C$2,(1-$I12),1)</f>
        <v>2193.7147901162248</v>
      </c>
      <c r="M96" s="90">
        <f ca="1">(M54/'Household Vehicle Occupancy'!M90)*IF($C$2,(1-$I12),1)</f>
        <v>3410.846750526282</v>
      </c>
      <c r="N96" s="90">
        <f ca="1">(N54/'Household Vehicle Occupancy'!N90)*IF($C$2,(1-$I12),1)</f>
        <v>4689.8857856998566</v>
      </c>
      <c r="O96" s="56">
        <f ca="1">(O54/'Household Vehicle Occupancy'!O90)*IF($C$2,(1-$I12),1)</f>
        <v>6034.9806449475636</v>
      </c>
      <c r="P96" s="56">
        <f ca="1">(P54/'Household Vehicle Occupancy'!P90)*IF($C$2,(1-$I12),1)</f>
        <v>7431.3134934894815</v>
      </c>
      <c r="Q96" s="57">
        <f ca="1">(Q54/'Household Vehicle Occupancy'!Q90)*IF($C$2,(1-$I12),1)</f>
        <v>8875.1734363569703</v>
      </c>
    </row>
    <row r="97" spans="3:17" ht="15.5" x14ac:dyDescent="0.35">
      <c r="C97" s="24" t="s">
        <v>2</v>
      </c>
      <c r="D97" s="89">
        <v>0</v>
      </c>
      <c r="E97" s="90">
        <v>0</v>
      </c>
      <c r="F97" s="90">
        <v>0</v>
      </c>
      <c r="G97" s="90">
        <v>0</v>
      </c>
      <c r="H97" s="90">
        <v>0</v>
      </c>
      <c r="I97" s="90">
        <v>0</v>
      </c>
      <c r="J97" s="90">
        <f ca="1">(J55/'Household Vehicle Occupancy'!J91)*IF($C$2,(1-$I13),1)</f>
        <v>0</v>
      </c>
      <c r="K97" s="90">
        <f ca="1">(K55/'Household Vehicle Occupancy'!K91)*IF($C$2,(1-$I13),1)</f>
        <v>511.80727321200379</v>
      </c>
      <c r="L97" s="90">
        <f ca="1">(L55/'Household Vehicle Occupancy'!L91)*IF($C$2,(1-$I13),1)</f>
        <v>1063.2457770740807</v>
      </c>
      <c r="M97" s="90">
        <f ca="1">(M55/'Household Vehicle Occupancy'!M91)*IF($C$2,(1-$I13),1)</f>
        <v>1635.8417467817708</v>
      </c>
      <c r="N97" s="90">
        <f ca="1">(N55/'Household Vehicle Occupancy'!N91)*IF($C$2,(1-$I13),1)</f>
        <v>2225.0556557691853</v>
      </c>
      <c r="O97" s="56">
        <f ca="1">(O55/'Household Vehicle Occupancy'!O91)*IF($C$2,(1-$I13),1)</f>
        <v>2829.6480757137797</v>
      </c>
      <c r="P97" s="56">
        <f ca="1">(P55/'Household Vehicle Occupancy'!P91)*IF($C$2,(1-$I13),1)</f>
        <v>3443.3492179949767</v>
      </c>
      <c r="Q97" s="57">
        <f ca="1">(Q55/'Household Vehicle Occupancy'!Q91)*IF($C$2,(1-$I13),1)</f>
        <v>4064.7130155926952</v>
      </c>
    </row>
    <row r="98" spans="3:17" ht="15.5" x14ac:dyDescent="0.35">
      <c r="C98" s="24" t="s">
        <v>3</v>
      </c>
      <c r="D98" s="89">
        <v>0</v>
      </c>
      <c r="E98" s="90">
        <v>0</v>
      </c>
      <c r="F98" s="90">
        <v>0</v>
      </c>
      <c r="G98" s="90">
        <v>0</v>
      </c>
      <c r="H98" s="90">
        <v>0</v>
      </c>
      <c r="I98" s="90">
        <v>0</v>
      </c>
      <c r="J98" s="90">
        <f ca="1">(J56/'Household Vehicle Occupancy'!J92)*IF($C$2,(1-$I14),1)</f>
        <v>0</v>
      </c>
      <c r="K98" s="90">
        <f ca="1">(K56/'Household Vehicle Occupancy'!K92)*IF($C$2,(1-$I14),1)</f>
        <v>256.00785061469719</v>
      </c>
      <c r="L98" s="90">
        <f ca="1">(L56/'Household Vehicle Occupancy'!L92)*IF($C$2,(1-$I14),1)</f>
        <v>528.00865438656706</v>
      </c>
      <c r="M98" s="90">
        <f ca="1">(M56/'Household Vehicle Occupancy'!M92)*IF($C$2,(1-$I14),1)</f>
        <v>806.32295442288967</v>
      </c>
      <c r="N98" s="90">
        <f ca="1">(N56/'Household Vehicle Occupancy'!N92)*IF($C$2,(1-$I14),1)</f>
        <v>1088.7779139652432</v>
      </c>
      <c r="O98" s="56">
        <f ca="1">(O56/'Household Vehicle Occupancy'!O92)*IF($C$2,(1-$I14),1)</f>
        <v>1374.4012024660506</v>
      </c>
      <c r="P98" s="56">
        <f ca="1">(P56/'Household Vehicle Occupancy'!P92)*IF($C$2,(1-$I14),1)</f>
        <v>1660.0492943426575</v>
      </c>
      <c r="Q98" s="57">
        <f ca="1">(Q56/'Household Vehicle Occupancy'!Q92)*IF($C$2,(1-$I14),1)</f>
        <v>1944.929657477604</v>
      </c>
    </row>
    <row r="99" spans="3:17" ht="15.5" x14ac:dyDescent="0.35">
      <c r="C99" s="24" t="s">
        <v>4</v>
      </c>
      <c r="D99" s="89">
        <v>0</v>
      </c>
      <c r="E99" s="90">
        <v>0</v>
      </c>
      <c r="F99" s="90">
        <v>0</v>
      </c>
      <c r="G99" s="90">
        <v>0</v>
      </c>
      <c r="H99" s="90">
        <v>0</v>
      </c>
      <c r="I99" s="90">
        <v>0</v>
      </c>
      <c r="J99" s="90">
        <f ca="1">(J57/'Household Vehicle Occupancy'!J93)*IF($C$2,(1-$I15),1)</f>
        <v>0</v>
      </c>
      <c r="K99" s="90">
        <f ca="1">(K57/'Household Vehicle Occupancy'!K93)*IF($C$2,(1-$I15),1)</f>
        <v>31.335955773410411</v>
      </c>
      <c r="L99" s="90">
        <f ca="1">(L57/'Household Vehicle Occupancy'!L93)*IF($C$2,(1-$I15),1)</f>
        <v>63.383523295432362</v>
      </c>
      <c r="M99" s="90">
        <f ca="1">(M57/'Household Vehicle Occupancy'!M93)*IF($C$2,(1-$I15),1)</f>
        <v>94.856572180136624</v>
      </c>
      <c r="N99" s="90">
        <f ca="1">(N57/'Household Vehicle Occupancy'!N93)*IF($C$2,(1-$I15),1)</f>
        <v>125.61014056038671</v>
      </c>
      <c r="O99" s="56">
        <f ca="1">(O57/'Household Vehicle Occupancy'!O93)*IF($C$2,(1-$I15),1)</f>
        <v>155.63154310645953</v>
      </c>
      <c r="P99" s="56">
        <f ca="1">(P57/'Household Vehicle Occupancy'!P93)*IF($C$2,(1-$I15),1)</f>
        <v>184.52680505222571</v>
      </c>
      <c r="Q99" s="57">
        <f ca="1">(Q57/'Household Vehicle Occupancy'!Q93)*IF($C$2,(1-$I15),1)</f>
        <v>212.25341671890718</v>
      </c>
    </row>
    <row r="100" spans="3:17" ht="15.5" x14ac:dyDescent="0.35">
      <c r="C100" s="24" t="s">
        <v>5</v>
      </c>
      <c r="D100" s="89">
        <v>0</v>
      </c>
      <c r="E100" s="90">
        <v>0</v>
      </c>
      <c r="F100" s="90">
        <v>0</v>
      </c>
      <c r="G100" s="90">
        <v>0</v>
      </c>
      <c r="H100" s="90">
        <v>0</v>
      </c>
      <c r="I100" s="90">
        <v>0</v>
      </c>
      <c r="J100" s="90">
        <f ca="1">(J58/'Household Vehicle Occupancy'!J94)*IF($C$2,(1-$I16),1)</f>
        <v>0</v>
      </c>
      <c r="K100" s="90">
        <f ca="1">(K58/'Household Vehicle Occupancy'!K94)*IF($C$2,(1-$I16),1)</f>
        <v>131.72233287206271</v>
      </c>
      <c r="L100" s="90">
        <f ca="1">(L58/'Household Vehicle Occupancy'!L94)*IF($C$2,(1-$I16),1)</f>
        <v>271.70597113656635</v>
      </c>
      <c r="M100" s="90">
        <f ca="1">(M58/'Household Vehicle Occupancy'!M94)*IF($C$2,(1-$I16),1)</f>
        <v>415.34755468347021</v>
      </c>
      <c r="N100" s="90">
        <f ca="1">(N58/'Household Vehicle Occupancy'!N94)*IF($C$2,(1-$I16),1)</f>
        <v>562.02577210581148</v>
      </c>
      <c r="O100" s="56">
        <f ca="1">(O58/'Household Vehicle Occupancy'!O94)*IF($C$2,(1-$I16),1)</f>
        <v>711.71313854570064</v>
      </c>
      <c r="P100" s="56">
        <f ca="1">(P58/'Household Vehicle Occupancy'!P94)*IF($C$2,(1-$I16),1)</f>
        <v>863.0006098695369</v>
      </c>
      <c r="Q100" s="57">
        <f ca="1">(Q58/'Household Vehicle Occupancy'!Q94)*IF($C$2,(1-$I16),1)</f>
        <v>1015.828959059023</v>
      </c>
    </row>
    <row r="101" spans="3:17" ht="15.5" x14ac:dyDescent="0.35">
      <c r="C101" s="24" t="s">
        <v>6</v>
      </c>
      <c r="D101" s="89">
        <v>0</v>
      </c>
      <c r="E101" s="90">
        <v>0</v>
      </c>
      <c r="F101" s="90">
        <v>0</v>
      </c>
      <c r="G101" s="90">
        <v>0</v>
      </c>
      <c r="H101" s="90">
        <v>0</v>
      </c>
      <c r="I101" s="90">
        <v>0</v>
      </c>
      <c r="J101" s="90">
        <f ca="1">(J59/'Household Vehicle Occupancy'!J95)*IF($C$2,(1-$I17),1)</f>
        <v>0</v>
      </c>
      <c r="K101" s="90">
        <f ca="1">(K59/'Household Vehicle Occupancy'!K95)*IF($C$2,(1-$I17),1)</f>
        <v>97.377035317053128</v>
      </c>
      <c r="L101" s="90">
        <f ca="1">(L59/'Household Vehicle Occupancy'!L95)*IF($C$2,(1-$I17),1)</f>
        <v>202.5776107985215</v>
      </c>
      <c r="M101" s="90">
        <f ca="1">(M59/'Household Vehicle Occupancy'!M95)*IF($C$2,(1-$I17),1)</f>
        <v>312.44547077032979</v>
      </c>
      <c r="N101" s="90">
        <f ca="1">(N59/'Household Vehicle Occupancy'!N95)*IF($C$2,(1-$I17),1)</f>
        <v>426.53033850137189</v>
      </c>
      <c r="O101" s="56">
        <f ca="1">(O59/'Household Vehicle Occupancy'!O95)*IF($C$2,(1-$I17),1)</f>
        <v>544.68889533230879</v>
      </c>
      <c r="P101" s="56">
        <f ca="1">(P59/'Household Vehicle Occupancy'!P95)*IF($C$2,(1-$I17),1)</f>
        <v>665.92053632530497</v>
      </c>
      <c r="Q101" s="57">
        <f ca="1">(Q59/'Household Vehicle Occupancy'!Q95)*IF($C$2,(1-$I17),1)</f>
        <v>790.16258511551587</v>
      </c>
    </row>
    <row r="102" spans="3:17" ht="15.5" x14ac:dyDescent="0.35">
      <c r="C102" s="24" t="s">
        <v>7</v>
      </c>
      <c r="D102" s="89">
        <v>0</v>
      </c>
      <c r="E102" s="90">
        <v>0</v>
      </c>
      <c r="F102" s="90">
        <v>0</v>
      </c>
      <c r="G102" s="90">
        <v>0</v>
      </c>
      <c r="H102" s="90">
        <v>0</v>
      </c>
      <c r="I102" s="90">
        <v>0</v>
      </c>
      <c r="J102" s="90">
        <f ca="1">(J60/'Household Vehicle Occupancy'!J96)*IF($C$2,(1-$I18),1)</f>
        <v>0</v>
      </c>
      <c r="K102" s="90">
        <f ca="1">(K60/'Household Vehicle Occupancy'!K96)*IF($C$2,(1-$I18),1)</f>
        <v>205.1981328274469</v>
      </c>
      <c r="L102" s="90">
        <f ca="1">(L60/'Household Vehicle Occupancy'!L96)*IF($C$2,(1-$I18),1)</f>
        <v>419.04807681245222</v>
      </c>
      <c r="M102" s="90">
        <f ca="1">(M60/'Household Vehicle Occupancy'!M96)*IF($C$2,(1-$I18),1)</f>
        <v>634.15854430285594</v>
      </c>
      <c r="N102" s="90">
        <f ca="1">(N60/'Household Vehicle Occupancy'!N96)*IF($C$2,(1-$I18),1)</f>
        <v>848.47527936094309</v>
      </c>
      <c r="O102" s="56">
        <f ca="1">(O60/'Household Vehicle Occupancy'!O96)*IF($C$2,(1-$I18),1)</f>
        <v>1062.3992248870416</v>
      </c>
      <c r="P102" s="56">
        <f ca="1">(P60/'Household Vehicle Occupancy'!P96)*IF($C$2,(1-$I18),1)</f>
        <v>1273.7029836249551</v>
      </c>
      <c r="Q102" s="57">
        <f ca="1">(Q60/'Household Vehicle Occupancy'!Q96)*IF($C$2,(1-$I18),1)</f>
        <v>1482.2907746885071</v>
      </c>
    </row>
    <row r="103" spans="3:17" ht="15.5" x14ac:dyDescent="0.35">
      <c r="C103" s="24" t="s">
        <v>8</v>
      </c>
      <c r="D103" s="89">
        <v>0</v>
      </c>
      <c r="E103" s="90">
        <v>0</v>
      </c>
      <c r="F103" s="90">
        <v>0</v>
      </c>
      <c r="G103" s="90">
        <v>0</v>
      </c>
      <c r="H103" s="90">
        <v>0</v>
      </c>
      <c r="I103" s="90">
        <v>0</v>
      </c>
      <c r="J103" s="90">
        <f ca="1">(J61/'Household Vehicle Occupancy'!J97)*IF($C$2,(1-$I19),1)</f>
        <v>0</v>
      </c>
      <c r="K103" s="90">
        <f ca="1">(K61/'Household Vehicle Occupancy'!K97)*IF($C$2,(1-$I19),1)</f>
        <v>312.2147505053768</v>
      </c>
      <c r="L103" s="90">
        <f ca="1">(L61/'Household Vehicle Occupancy'!L97)*IF($C$2,(1-$I19),1)</f>
        <v>650.05164906106518</v>
      </c>
      <c r="M103" s="90">
        <f ca="1">(M61/'Household Vehicle Occupancy'!M97)*IF($C$2,(1-$I19),1)</f>
        <v>1002.7512195198316</v>
      </c>
      <c r="N103" s="90">
        <f ca="1">(N61/'Household Vehicle Occupancy'!N97)*IF($C$2,(1-$I19),1)</f>
        <v>1367.6476728885095</v>
      </c>
      <c r="O103" s="56">
        <f ca="1">(O61/'Household Vehicle Occupancy'!O97)*IF($C$2,(1-$I19),1)</f>
        <v>1745.7273928252191</v>
      </c>
      <c r="P103" s="56">
        <f ca="1">(P61/'Household Vehicle Occupancy'!P97)*IF($C$2,(1-$I19),1)</f>
        <v>2132.5632524286957</v>
      </c>
      <c r="Q103" s="57">
        <f ca="1">(Q61/'Household Vehicle Occupancy'!Q97)*IF($C$2,(1-$I19),1)</f>
        <v>2527.6084199234774</v>
      </c>
    </row>
    <row r="104" spans="3:17" ht="15.5" x14ac:dyDescent="0.35">
      <c r="C104" s="24" t="s">
        <v>9</v>
      </c>
      <c r="D104" s="89">
        <v>0</v>
      </c>
      <c r="E104" s="90">
        <v>0</v>
      </c>
      <c r="F104" s="90">
        <v>0</v>
      </c>
      <c r="G104" s="90">
        <v>0</v>
      </c>
      <c r="H104" s="90">
        <v>0</v>
      </c>
      <c r="I104" s="90">
        <v>0</v>
      </c>
      <c r="J104" s="90">
        <f ca="1">(J62/'Household Vehicle Occupancy'!J98)*IF($C$2,(1-$I20),1)</f>
        <v>0</v>
      </c>
      <c r="K104" s="90">
        <f ca="1">(K62/'Household Vehicle Occupancy'!K98)*IF($C$2,(1-$I20),1)</f>
        <v>118.23599899693281</v>
      </c>
      <c r="L104" s="90">
        <f ca="1">(L62/'Household Vehicle Occupancy'!L98)*IF($C$2,(1-$I20),1)</f>
        <v>241.4292963066076</v>
      </c>
      <c r="M104" s="90">
        <f ca="1">(M62/'Household Vehicle Occupancy'!M98)*IF($C$2,(1-$I20),1)</f>
        <v>365.08837488130075</v>
      </c>
      <c r="N104" s="90">
        <f ca="1">(N62/'Household Vehicle Occupancy'!N98)*IF($C$2,(1-$I20),1)</f>
        <v>487.41572450846024</v>
      </c>
      <c r="O104" s="56">
        <f ca="1">(O62/'Household Vehicle Occupancy'!O98)*IF($C$2,(1-$I20),1)</f>
        <v>608.70253378731161</v>
      </c>
      <c r="P104" s="56">
        <f ca="1">(P62/'Household Vehicle Occupancy'!P98)*IF($C$2,(1-$I20),1)</f>
        <v>727.47841244217682</v>
      </c>
      <c r="Q104" s="57">
        <f ca="1">(Q62/'Household Vehicle Occupancy'!Q98)*IF($C$2,(1-$I20),1)</f>
        <v>843.50766482307392</v>
      </c>
    </row>
    <row r="105" spans="3:17" ht="15.5" x14ac:dyDescent="0.35">
      <c r="C105" s="24" t="s">
        <v>10</v>
      </c>
      <c r="D105" s="89">
        <v>0</v>
      </c>
      <c r="E105" s="90">
        <v>0</v>
      </c>
      <c r="F105" s="90">
        <v>0</v>
      </c>
      <c r="G105" s="90">
        <v>0</v>
      </c>
      <c r="H105" s="90">
        <v>0</v>
      </c>
      <c r="I105" s="90">
        <v>0</v>
      </c>
      <c r="J105" s="90">
        <f ca="1">(J63/'Household Vehicle Occupancy'!J99)*IF($C$2,(1-$I21),1)</f>
        <v>0</v>
      </c>
      <c r="K105" s="90">
        <f ca="1">(K63/'Household Vehicle Occupancy'!K99)*IF($C$2,(1-$I21),1)</f>
        <v>42.480531159625087</v>
      </c>
      <c r="L105" s="90">
        <f ca="1">(L63/'Household Vehicle Occupancy'!L99)*IF($C$2,(1-$I21),1)</f>
        <v>84.391550062831101</v>
      </c>
      <c r="M105" s="90">
        <f ca="1">(M63/'Household Vehicle Occupancy'!M99)*IF($C$2,(1-$I21),1)</f>
        <v>124.2239014051454</v>
      </c>
      <c r="N105" s="90">
        <f ca="1">(N63/'Household Vehicle Occupancy'!N99)*IF($C$2,(1-$I21),1)</f>
        <v>161.86283715727041</v>
      </c>
      <c r="O105" s="56">
        <f ca="1">(O63/'Household Vehicle Occupancy'!O99)*IF($C$2,(1-$I21),1)</f>
        <v>197.24167270523961</v>
      </c>
      <c r="P105" s="56">
        <f ca="1">(P63/'Household Vehicle Occupancy'!P99)*IF($C$2,(1-$I21),1)</f>
        <v>230.0059834405854</v>
      </c>
      <c r="Q105" s="57">
        <f ca="1">(Q63/'Household Vehicle Occupancy'!Q99)*IF($C$2,(1-$I21),1)</f>
        <v>260.20341541147275</v>
      </c>
    </row>
    <row r="106" spans="3:17" ht="15.5" x14ac:dyDescent="0.35">
      <c r="C106" s="24" t="s">
        <v>11</v>
      </c>
      <c r="D106" s="89">
        <v>0</v>
      </c>
      <c r="E106" s="90">
        <v>0</v>
      </c>
      <c r="F106" s="90">
        <v>0</v>
      </c>
      <c r="G106" s="90">
        <v>0</v>
      </c>
      <c r="H106" s="90">
        <v>0</v>
      </c>
      <c r="I106" s="90">
        <v>0</v>
      </c>
      <c r="J106" s="90">
        <f ca="1">(J64/'Household Vehicle Occupancy'!J100)*IF($C$2,(1-$I22),1)</f>
        <v>0</v>
      </c>
      <c r="K106" s="90">
        <f ca="1">(K64/'Household Vehicle Occupancy'!K100)*IF($C$2,(1-$I22),1)</f>
        <v>506.13217574540579</v>
      </c>
      <c r="L106" s="90">
        <f ca="1">(L64/'Household Vehicle Occupancy'!L100)*IF($C$2,(1-$I22),1)</f>
        <v>1067.195626955471</v>
      </c>
      <c r="M106" s="90">
        <f ca="1">(M64/'Household Vehicle Occupancy'!M100)*IF($C$2,(1-$I22),1)</f>
        <v>1667.0109910488902</v>
      </c>
      <c r="N106" s="90">
        <f ca="1">(N64/'Household Vehicle Occupancy'!N100)*IF($C$2,(1-$I22),1)</f>
        <v>2302.2118210965673</v>
      </c>
      <c r="O106" s="56">
        <f ca="1">(O64/'Household Vehicle Occupancy'!O100)*IF($C$2,(1-$I22),1)</f>
        <v>2976.7302379518396</v>
      </c>
      <c r="P106" s="56">
        <f ca="1">(P64/'Household Vehicle Occupancy'!P100)*IF($C$2,(1-$I22),1)</f>
        <v>3683.4815019754164</v>
      </c>
      <c r="Q106" s="57">
        <f ca="1">(Q64/'Household Vehicle Occupancy'!Q100)*IF($C$2,(1-$I22),1)</f>
        <v>4422.2777330403014</v>
      </c>
    </row>
    <row r="107" spans="3:17" ht="15.5" x14ac:dyDescent="0.35">
      <c r="C107" s="24" t="s">
        <v>12</v>
      </c>
      <c r="D107" s="89">
        <v>0</v>
      </c>
      <c r="E107" s="90">
        <v>0</v>
      </c>
      <c r="F107" s="90">
        <v>0</v>
      </c>
      <c r="G107" s="90">
        <v>0</v>
      </c>
      <c r="H107" s="90">
        <v>0</v>
      </c>
      <c r="I107" s="90">
        <v>0</v>
      </c>
      <c r="J107" s="90">
        <f ca="1">(J65/'Household Vehicle Occupancy'!J101)*IF($C$2,(1-$I23),1)</f>
        <v>0</v>
      </c>
      <c r="K107" s="90">
        <f ca="1">(K65/'Household Vehicle Occupancy'!K101)*IF($C$2,(1-$I23),1)</f>
        <v>213.84702461753369</v>
      </c>
      <c r="L107" s="90">
        <f ca="1">(L65/'Household Vehicle Occupancy'!L101)*IF($C$2,(1-$I23),1)</f>
        <v>449.03340168932277</v>
      </c>
      <c r="M107" s="90">
        <f ca="1">(M65/'Household Vehicle Occupancy'!M101)*IF($C$2,(1-$I23),1)</f>
        <v>698.27685109685729</v>
      </c>
      <c r="N107" s="90">
        <f ca="1">(N65/'Household Vehicle Occupancy'!N101)*IF($C$2,(1-$I23),1)</f>
        <v>960.38878962783508</v>
      </c>
      <c r="O107" s="56">
        <f ca="1">(O65/'Household Vehicle Occupancy'!O101)*IF($C$2,(1-$I23),1)</f>
        <v>1235.8644795252799</v>
      </c>
      <c r="P107" s="56">
        <f ca="1">(P65/'Household Vehicle Occupancy'!P101)*IF($C$2,(1-$I23),1)</f>
        <v>1521.9507357849966</v>
      </c>
      <c r="Q107" s="57">
        <f ca="1">(Q65/'Household Vehicle Occupancy'!Q101)*IF($C$2,(1-$I23),1)</f>
        <v>1818.3734132208597</v>
      </c>
    </row>
    <row r="108" spans="3:17" ht="16" thickBot="1" x14ac:dyDescent="0.4">
      <c r="C108" s="25" t="s">
        <v>13</v>
      </c>
      <c r="D108" s="91">
        <v>0</v>
      </c>
      <c r="E108" s="92">
        <v>0</v>
      </c>
      <c r="F108" s="92">
        <v>0</v>
      </c>
      <c r="G108" s="92">
        <v>0</v>
      </c>
      <c r="H108" s="92">
        <v>0</v>
      </c>
      <c r="I108" s="92">
        <v>0</v>
      </c>
      <c r="J108" s="92">
        <f ca="1">(J66/'Household Vehicle Occupancy'!J102)*IF($C$2,(1-$I24),1)</f>
        <v>0</v>
      </c>
      <c r="K108" s="92">
        <f ca="1">(K66/'Household Vehicle Occupancy'!K102)*IF($C$2,(1-$I24),1)</f>
        <v>93.148327330023008</v>
      </c>
      <c r="L108" s="92">
        <f ca="1">(L66/'Household Vehicle Occupancy'!L102)*IF($C$2,(1-$I24),1)</f>
        <v>187.35395050836524</v>
      </c>
      <c r="M108" s="92">
        <f ca="1">(M66/'Household Vehicle Occupancy'!M102)*IF($C$2,(1-$I24),1)</f>
        <v>279.36905033722456</v>
      </c>
      <c r="N108" s="92">
        <f ca="1">(N66/'Household Vehicle Occupancy'!N102)*IF($C$2,(1-$I24),1)</f>
        <v>368.5823848660998</v>
      </c>
      <c r="O108" s="59">
        <f ca="1">(O66/'Household Vehicle Occupancy'!O102)*IF($C$2,(1-$I24),1)</f>
        <v>454.82508733407252</v>
      </c>
      <c r="P108" s="59">
        <f ca="1">(P66/'Household Vehicle Occupancy'!P102)*IF($C$2,(1-$I24),1)</f>
        <v>537.08518804320329</v>
      </c>
      <c r="Q108" s="60">
        <f ca="1">(Q66/'Household Vehicle Occupancy'!Q102)*IF($C$2,(1-$I24),1)</f>
        <v>615.28360060192836</v>
      </c>
    </row>
    <row r="109" spans="3:17" ht="16.5" thickTop="1" thickBot="1" x14ac:dyDescent="0.4">
      <c r="C109" s="31" t="s">
        <v>24</v>
      </c>
      <c r="D109" s="93">
        <f>SUM(D95:D108)</f>
        <v>0</v>
      </c>
      <c r="E109" s="94">
        <f t="shared" ref="E109:N109" si="53">SUM(E95:E108)</f>
        <v>0</v>
      </c>
      <c r="F109" s="94">
        <f t="shared" si="53"/>
        <v>0</v>
      </c>
      <c r="G109" s="94">
        <f t="shared" si="53"/>
        <v>0</v>
      </c>
      <c r="H109" s="94">
        <f t="shared" si="53"/>
        <v>0</v>
      </c>
      <c r="I109" s="94">
        <f t="shared" si="53"/>
        <v>0</v>
      </c>
      <c r="J109" s="94">
        <f t="shared" ca="1" si="53"/>
        <v>0</v>
      </c>
      <c r="K109" s="94">
        <f t="shared" ca="1" si="53"/>
        <v>3734.9660143672818</v>
      </c>
      <c r="L109" s="94">
        <f t="shared" ca="1" si="53"/>
        <v>7774.0130205146361</v>
      </c>
      <c r="M109" s="94">
        <f t="shared" ca="1" si="53"/>
        <v>11988.143588641531</v>
      </c>
      <c r="N109" s="94">
        <f t="shared" ca="1" si="53"/>
        <v>16348.86949904822</v>
      </c>
      <c r="O109" s="94">
        <f t="shared" ref="O109:Q109" ca="1" si="54">SUM(O95:O108)</f>
        <v>20863.813950795957</v>
      </c>
      <c r="P109" s="94">
        <f t="shared" ca="1" si="54"/>
        <v>25484.933119274094</v>
      </c>
      <c r="Q109" s="95">
        <f t="shared" ca="1" si="54"/>
        <v>30204.547165920732</v>
      </c>
    </row>
    <row r="110" spans="3:17" ht="16" thickTop="1" x14ac:dyDescent="0.35">
      <c r="C110" s="154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</row>
    <row r="111" spans="3:17" ht="15.5" x14ac:dyDescent="0.35">
      <c r="C111" s="128"/>
      <c r="D111" s="167"/>
    </row>
    <row r="112" spans="3:17" ht="16" thickBot="1" x14ac:dyDescent="0.4">
      <c r="C112" s="170"/>
      <c r="D112" s="171"/>
    </row>
    <row r="113" spans="3:17" ht="16" thickTop="1" x14ac:dyDescent="0.35">
      <c r="C113" s="32" t="s">
        <v>149</v>
      </c>
      <c r="D113" s="33"/>
      <c r="E113" s="33"/>
      <c r="F113" s="33"/>
      <c r="G113" s="33"/>
      <c r="H113" s="33"/>
      <c r="I113" s="33"/>
      <c r="J113" s="34"/>
      <c r="K113" s="34"/>
      <c r="L113" s="34"/>
      <c r="M113" s="34"/>
      <c r="N113" s="34"/>
      <c r="O113" s="34"/>
      <c r="P113" s="34"/>
      <c r="Q113" s="35"/>
    </row>
    <row r="114" spans="3:17" ht="13.5" thickBot="1" x14ac:dyDescent="0.35">
      <c r="C114" s="36"/>
      <c r="D114" s="37" t="s">
        <v>25</v>
      </c>
      <c r="E114" s="37" t="s">
        <v>37</v>
      </c>
      <c r="F114" s="37" t="s">
        <v>38</v>
      </c>
      <c r="G114" s="37" t="s">
        <v>177</v>
      </c>
      <c r="H114" s="37" t="s">
        <v>178</v>
      </c>
      <c r="I114" s="37" t="s">
        <v>26</v>
      </c>
      <c r="J114" s="37" t="s">
        <v>27</v>
      </c>
      <c r="K114" s="37" t="s">
        <v>28</v>
      </c>
      <c r="L114" s="37" t="s">
        <v>29</v>
      </c>
      <c r="M114" s="37" t="s">
        <v>30</v>
      </c>
      <c r="N114" s="37" t="s">
        <v>31</v>
      </c>
      <c r="O114" s="37" t="s">
        <v>174</v>
      </c>
      <c r="P114" s="37" t="s">
        <v>175</v>
      </c>
      <c r="Q114" s="38" t="s">
        <v>176</v>
      </c>
    </row>
    <row r="115" spans="3:17" ht="14" thickTop="1" thickBot="1" x14ac:dyDescent="0.35">
      <c r="C115" s="18"/>
      <c r="D115" s="65" t="s">
        <v>39</v>
      </c>
      <c r="E115" s="65" t="s">
        <v>39</v>
      </c>
      <c r="F115" s="71" t="s">
        <v>39</v>
      </c>
      <c r="G115" s="65" t="s">
        <v>39</v>
      </c>
      <c r="H115" s="71" t="s">
        <v>39</v>
      </c>
      <c r="I115" s="65" t="s">
        <v>39</v>
      </c>
      <c r="J115" s="65" t="s">
        <v>32</v>
      </c>
      <c r="K115" s="65" t="s">
        <v>32</v>
      </c>
      <c r="L115" s="65" t="s">
        <v>32</v>
      </c>
      <c r="M115" s="65" t="s">
        <v>32</v>
      </c>
      <c r="N115" s="65" t="s">
        <v>32</v>
      </c>
      <c r="O115" s="65" t="s">
        <v>32</v>
      </c>
      <c r="P115" s="65" t="s">
        <v>32</v>
      </c>
      <c r="Q115" s="66" t="s">
        <v>32</v>
      </c>
    </row>
    <row r="116" spans="3:17" ht="16" thickTop="1" x14ac:dyDescent="0.35">
      <c r="C116" s="27" t="s">
        <v>0</v>
      </c>
      <c r="D116" s="86"/>
      <c r="E116" s="87"/>
      <c r="G116" s="87"/>
      <c r="I116" s="87">
        <v>1</v>
      </c>
      <c r="J116" s="87">
        <f ca="1">$I116*(J74/$I74)*('Household Vehicle Occupancy'!$I89/'Household Vehicle Occupancy'!J89)</f>
        <v>1.1140170101345046</v>
      </c>
      <c r="K116" s="87">
        <f ca="1">$I116*(K74/$I74)*('Household Vehicle Occupancy'!$I89/'Household Vehicle Occupancy'!K89)</f>
        <v>1.2178702672027955</v>
      </c>
      <c r="L116" s="87">
        <f ca="1">$I116*(L74/$I74)*('Household Vehicle Occupancy'!$I89/'Household Vehicle Occupancy'!L89)</f>
        <v>1.3071033834257626</v>
      </c>
      <c r="M116" s="87">
        <f ca="1">$I116*(M74/$I74)*('Household Vehicle Occupancy'!$I89/'Household Vehicle Occupancy'!M89)</f>
        <v>1.3717994107339408</v>
      </c>
      <c r="N116" s="87">
        <f ca="1">$I116*(N74/$I74)*('Household Vehicle Occupancy'!$I89/'Household Vehicle Occupancy'!N89)</f>
        <v>1.4296400992375802</v>
      </c>
      <c r="O116" s="87">
        <f ca="1">$I116*(O74/$I74)*('Household Vehicle Occupancy'!$I89/'Household Vehicle Occupancy'!O89)</f>
        <v>1.4449738504415046</v>
      </c>
      <c r="P116" s="87">
        <f ca="1">$I116*(P74/$I74)*('Household Vehicle Occupancy'!$I89/'Household Vehicle Occupancy'!P89)</f>
        <v>1.4564130802093149</v>
      </c>
      <c r="Q116" s="88">
        <f ca="1">$I116*(Q74/$I74)*('Household Vehicle Occupancy'!$I89/'Household Vehicle Occupancy'!Q89)</f>
        <v>1.4653948650585529</v>
      </c>
    </row>
    <row r="117" spans="3:17" ht="15.5" x14ac:dyDescent="0.35">
      <c r="C117" s="24" t="s">
        <v>1</v>
      </c>
      <c r="D117" s="89"/>
      <c r="E117" s="90"/>
      <c r="G117" s="90"/>
      <c r="I117" s="90">
        <v>1</v>
      </c>
      <c r="J117" s="90">
        <f ca="1">$I117*(J75/$I75)*('Household Vehicle Occupancy'!$I90/'Household Vehicle Occupancy'!J90)</f>
        <v>1.1414815579374864</v>
      </c>
      <c r="K117" s="90">
        <f ca="1">$I117*(K75/$I75)*('Household Vehicle Occupancy'!$I90/'Household Vehicle Occupancy'!K90)</f>
        <v>1.2727263876717259</v>
      </c>
      <c r="L117" s="90">
        <f ca="1">$I117*(L75/$I75)*('Household Vehicle Occupancy'!$I90/'Household Vehicle Occupancy'!L90)</f>
        <v>1.3920015305117093</v>
      </c>
      <c r="M117" s="90">
        <f ca="1">$I117*(M75/$I75)*('Household Vehicle Occupancy'!$I90/'Household Vehicle Occupancy'!M90)</f>
        <v>1.4892397764290257</v>
      </c>
      <c r="N117" s="90">
        <f ca="1">$I117*(N75/$I75)*('Household Vehicle Occupancy'!$I90/'Household Vehicle Occupancy'!N90)</f>
        <v>1.5837598696156161</v>
      </c>
      <c r="O117" s="56">
        <f ca="1">$I117*(O75/$I75)*('Household Vehicle Occupancy'!$I90/'Household Vehicle Occupancy'!O90)</f>
        <v>1.6336728047962985</v>
      </c>
      <c r="P117" s="56">
        <f ca="1">$I117*(P75/$I75)*('Household Vehicle Occupancy'!$I90/'Household Vehicle Occupancy'!P90)</f>
        <v>1.6803590695180608</v>
      </c>
      <c r="Q117" s="57">
        <f ca="1">$I117*(Q75/$I75)*('Household Vehicle Occupancy'!$I90/'Household Vehicle Occupancy'!Q90)</f>
        <v>1.7254005122299574</v>
      </c>
    </row>
    <row r="118" spans="3:17" ht="15.5" x14ac:dyDescent="0.35">
      <c r="C118" s="24" t="s">
        <v>2</v>
      </c>
      <c r="D118" s="89"/>
      <c r="E118" s="90"/>
      <c r="G118" s="90"/>
      <c r="I118" s="90">
        <v>1</v>
      </c>
      <c r="J118" s="90">
        <f ca="1">$I118*(J76/$I76)*('Household Vehicle Occupancy'!$I91/'Household Vehicle Occupancy'!J91)</f>
        <v>1.1160162957572275</v>
      </c>
      <c r="K118" s="90">
        <f ca="1">$I118*(K76/$I76)*('Household Vehicle Occupancy'!$I91/'Household Vehicle Occupancy'!K91)</f>
        <v>1.2213272290568185</v>
      </c>
      <c r="L118" s="90">
        <f ca="1">$I118*(L76/$I76)*('Household Vehicle Occupancy'!$I91/'Household Vehicle Occupancy'!L91)</f>
        <v>1.3131974536697391</v>
      </c>
      <c r="M118" s="90">
        <f ca="1">$I118*(M76/$I76)*('Household Vehicle Occupancy'!$I91/'Household Vehicle Occupancy'!M91)</f>
        <v>1.3808096497208187</v>
      </c>
      <c r="N118" s="90">
        <f ca="1">$I118*(N76/$I76)*('Household Vehicle Occupancy'!$I91/'Household Vehicle Occupancy'!N91)</f>
        <v>1.4428018318399283</v>
      </c>
      <c r="O118" s="56">
        <f ca="1">$I118*(O76/$I76)*('Household Vehicle Occupancy'!$I91/'Household Vehicle Occupancy'!O91)</f>
        <v>1.4625220684194395</v>
      </c>
      <c r="P118" s="56">
        <f ca="1">$I118*(P76/$I76)*('Household Vehicle Occupancy'!$I91/'Household Vehicle Occupancy'!P91)</f>
        <v>1.477690647946307</v>
      </c>
      <c r="Q118" s="57">
        <f ca="1">$I118*(Q76/$I76)*('Household Vehicle Occupancy'!$I91/'Household Vehicle Occupancy'!Q91)</f>
        <v>1.4897023957022701</v>
      </c>
    </row>
    <row r="119" spans="3:17" ht="15.5" x14ac:dyDescent="0.35">
      <c r="C119" s="24" t="s">
        <v>3</v>
      </c>
      <c r="D119" s="89"/>
      <c r="E119" s="90"/>
      <c r="G119" s="90"/>
      <c r="I119" s="90">
        <v>1</v>
      </c>
      <c r="J119" s="90">
        <f ca="1">$I119*(J77/$I77)*('Household Vehicle Occupancy'!$I92/'Household Vehicle Occupancy'!J92)</f>
        <v>1.1074708727012821</v>
      </c>
      <c r="K119" s="90">
        <f ca="1">$I119*(K77/$I77)*('Household Vehicle Occupancy'!$I92/'Household Vehicle Occupancy'!K92)</f>
        <v>1.2045738984013836</v>
      </c>
      <c r="L119" s="90">
        <f ca="1">$I119*(L77/$I77)*('Household Vehicle Occupancy'!$I92/'Household Vehicle Occupancy'!L92)</f>
        <v>1.2875206416556795</v>
      </c>
      <c r="M119" s="90">
        <f ca="1">$I119*(M77/$I77)*('Household Vehicle Occupancy'!$I92/'Household Vehicle Occupancy'!M92)</f>
        <v>1.3450612916521041</v>
      </c>
      <c r="N119" s="90">
        <f ca="1">$I119*(N77/$I77)*('Household Vehicle Occupancy'!$I92/'Household Vehicle Occupancy'!N92)</f>
        <v>1.3965821364412629</v>
      </c>
      <c r="O119" s="56">
        <f ca="1">$I119*(O77/$I77)*('Household Vehicle Occupancy'!$I92/'Household Vehicle Occupancy'!O92)</f>
        <v>1.4051782985639465</v>
      </c>
      <c r="P119" s="56">
        <f ca="1">$I119*(P77/$I77)*('Household Vehicle Occupancy'!$I92/'Household Vehicle Occupancy'!P92)</f>
        <v>1.4091519694454342</v>
      </c>
      <c r="Q119" s="57">
        <f ca="1">$I119*(Q77/$I77)*('Household Vehicle Occupancy'!$I92/'Household Vehicle Occupancy'!Q92)</f>
        <v>1.4099196820034248</v>
      </c>
    </row>
    <row r="120" spans="3:17" ht="15.5" x14ac:dyDescent="0.35">
      <c r="C120" s="24" t="s">
        <v>4</v>
      </c>
      <c r="D120" s="89"/>
      <c r="E120" s="90"/>
      <c r="G120" s="90"/>
      <c r="I120" s="90">
        <v>1</v>
      </c>
      <c r="J120" s="90">
        <f ca="1">$I120*(J78/$I78)*('Household Vehicle Occupancy'!$I93/'Household Vehicle Occupancy'!J93)</f>
        <v>1.0801185916571028</v>
      </c>
      <c r="K120" s="90">
        <f ca="1">$I120*(K78/$I78)*('Household Vehicle Occupancy'!$I93/'Household Vehicle Occupancy'!K93)</f>
        <v>1.1522276494100732</v>
      </c>
      <c r="L120" s="90">
        <f ca="1">$I120*(L78/$I78)*('Household Vehicle Occupancy'!$I93/'Household Vehicle Occupancy'!L93)</f>
        <v>1.2089773535301771</v>
      </c>
      <c r="M120" s="90">
        <f ca="1">$I120*(M78/$I78)*('Household Vehicle Occupancy'!$I93/'Household Vehicle Occupancy'!M93)</f>
        <v>1.2389536927789031</v>
      </c>
      <c r="N120" s="90">
        <f ca="1">$I120*(N78/$I78)*('Household Vehicle Occupancy'!$I93/'Household Vehicle Occupancy'!N93)</f>
        <v>1.2628524004801345</v>
      </c>
      <c r="O120" s="56">
        <f ca="1">$I120*(O78/$I78)*('Household Vehicle Occupancy'!$I93/'Household Vehicle Occupancy'!O93)</f>
        <v>1.2471288920648975</v>
      </c>
      <c r="P120" s="56">
        <f ca="1">$I120*(P78/$I78)*('Household Vehicle Occupancy'!$I93/'Household Vehicle Occupancy'!P93)</f>
        <v>1.2276858035137195</v>
      </c>
      <c r="Q120" s="57">
        <f ca="1">$I120*(Q78/$I78)*('Household Vehicle Occupancy'!$I93/'Household Vehicle Occupancy'!Q93)</f>
        <v>1.2059553344116389</v>
      </c>
    </row>
    <row r="121" spans="3:17" ht="15.5" x14ac:dyDescent="0.35">
      <c r="C121" s="24" t="s">
        <v>5</v>
      </c>
      <c r="D121" s="89"/>
      <c r="E121" s="90"/>
      <c r="G121" s="90"/>
      <c r="I121" s="90">
        <v>1</v>
      </c>
      <c r="J121" s="90">
        <f ca="1">$I121*(J79/$I79)*('Household Vehicle Occupancy'!$I94/'Household Vehicle Occupancy'!J94)</f>
        <v>1.1062032243338378</v>
      </c>
      <c r="K121" s="90">
        <f ca="1">$I121*(K79/$I79)*('Household Vehicle Occupancy'!$I94/'Household Vehicle Occupancy'!K94)</f>
        <v>1.2027736258461075</v>
      </c>
      <c r="L121" s="90">
        <f ca="1">$I121*(L79/$I79)*('Household Vehicle Occupancy'!$I94/'Household Vehicle Occupancy'!L94)</f>
        <v>1.2853283931325028</v>
      </c>
      <c r="M121" s="90">
        <f ca="1">$I121*(M79/$I79)*('Household Vehicle Occupancy'!$I94/'Household Vehicle Occupancy'!M94)</f>
        <v>1.343959980295804</v>
      </c>
      <c r="N121" s="90">
        <f ca="1">$I121*(N79/$I79)*('Household Vehicle Occupancy'!$I94/'Household Vehicle Occupancy'!N94)</f>
        <v>1.3982147814985992</v>
      </c>
      <c r="O121" s="56">
        <f ca="1">$I121*(O79/$I79)*('Household Vehicle Occupancy'!$I94/'Household Vehicle Occupancy'!O94)</f>
        <v>1.4112986092640776</v>
      </c>
      <c r="P121" s="56">
        <f ca="1">$I121*(P79/$I79)*('Household Vehicle Occupancy'!$I94/'Household Vehicle Occupancy'!P94)</f>
        <v>1.4208543135135465</v>
      </c>
      <c r="Q121" s="57">
        <f ca="1">$I121*(Q79/$I79)*('Household Vehicle Occupancy'!$I94/'Household Vehicle Occupancy'!Q94)</f>
        <v>1.4282961617067373</v>
      </c>
    </row>
    <row r="122" spans="3:17" ht="15.5" x14ac:dyDescent="0.35">
      <c r="C122" s="24" t="s">
        <v>6</v>
      </c>
      <c r="D122" s="89"/>
      <c r="E122" s="90"/>
      <c r="G122" s="90"/>
      <c r="I122" s="90">
        <v>1</v>
      </c>
      <c r="J122" s="90">
        <f ca="1">$I122*(J80/$I80)*('Household Vehicle Occupancy'!$I95/'Household Vehicle Occupancy'!J95)</f>
        <v>1.1162179081533556</v>
      </c>
      <c r="K122" s="90">
        <f ca="1">$I122*(K80/$I80)*('Household Vehicle Occupancy'!$I95/'Household Vehicle Occupancy'!K95)</f>
        <v>1.2231956863706204</v>
      </c>
      <c r="L122" s="90">
        <f ca="1">$I122*(L80/$I80)*('Household Vehicle Occupancy'!$I95/'Household Vehicle Occupancy'!L95)</f>
        <v>1.3188896846376887</v>
      </c>
      <c r="M122" s="90">
        <f ca="1">$I122*(M80/$I80)*('Household Vehicle Occupancy'!$I95/'Household Vehicle Occupancy'!M95)</f>
        <v>1.3917443219638401</v>
      </c>
      <c r="N122" s="90">
        <f ca="1">$I122*(N80/$I80)*('Household Vehicle Occupancy'!$I95/'Household Vehicle Occupancy'!N95)</f>
        <v>1.4611027156981504</v>
      </c>
      <c r="O122" s="56">
        <f ca="1">$I122*(O80/$I80)*('Household Vehicle Occupancy'!$I95/'Household Vehicle Occupancy'!O95)</f>
        <v>1.4872008584351508</v>
      </c>
      <c r="P122" s="56">
        <f ca="1">$I122*(P80/$I80)*('Household Vehicle Occupancy'!$I95/'Household Vehicle Occupancy'!P95)</f>
        <v>1.509600443793029</v>
      </c>
      <c r="Q122" s="57">
        <f ca="1">$I122*(Q80/$I80)*('Household Vehicle Occupancy'!$I95/'Household Vehicle Occupancy'!Q95)</f>
        <v>1.5297105356305107</v>
      </c>
    </row>
    <row r="123" spans="3:17" ht="15.5" x14ac:dyDescent="0.35">
      <c r="C123" s="24" t="s">
        <v>7</v>
      </c>
      <c r="D123" s="89"/>
      <c r="E123" s="90"/>
      <c r="G123" s="90"/>
      <c r="I123" s="90">
        <v>1</v>
      </c>
      <c r="J123" s="90">
        <f ca="1">$I123*(J81/$I81)*('Household Vehicle Occupancy'!$I96/'Household Vehicle Occupancy'!J96)</f>
        <v>1.0919490276813653</v>
      </c>
      <c r="K123" s="90">
        <f ca="1">$I123*(K81/$I81)*('Household Vehicle Occupancy'!$I96/'Household Vehicle Occupancy'!K96)</f>
        <v>1.174386024078347</v>
      </c>
      <c r="L123" s="90">
        <f ca="1">$I123*(L81/$I81)*('Household Vehicle Occupancy'!$I96/'Household Vehicle Occupancy'!L96)</f>
        <v>1.241492793856686</v>
      </c>
      <c r="M123" s="90">
        <f ca="1">$I123*(M81/$I81)*('Household Vehicle Occupancy'!$I96/'Household Vehicle Occupancy'!M96)</f>
        <v>1.2843635681963042</v>
      </c>
      <c r="N123" s="90">
        <f ca="1">$I123*(N81/$I81)*('Household Vehicle Occupancy'!$I96/'Household Vehicle Occupancy'!N96)</f>
        <v>1.3204667028267993</v>
      </c>
      <c r="O123" s="56">
        <f ca="1">$I123*(O81/$I81)*('Household Vehicle Occupancy'!$I96/'Household Vehicle Occupancy'!O96)</f>
        <v>1.317895869042762</v>
      </c>
      <c r="P123" s="56">
        <f ca="1">$I123*(P81/$I81)*('Household Vehicle Occupancy'!$I96/'Household Vehicle Occupancy'!P96)</f>
        <v>1.3118823338985033</v>
      </c>
      <c r="Q123" s="57">
        <f ca="1">$I123*(Q81/$I81)*('Household Vehicle Occupancy'!$I96/'Household Vehicle Occupancy'!Q96)</f>
        <v>1.3038517967145369</v>
      </c>
    </row>
    <row r="124" spans="3:17" ht="15.5" x14ac:dyDescent="0.35">
      <c r="C124" s="24" t="s">
        <v>8</v>
      </c>
      <c r="D124" s="89"/>
      <c r="E124" s="90"/>
      <c r="G124" s="90"/>
      <c r="I124" s="90">
        <v>1</v>
      </c>
      <c r="J124" s="90">
        <f ca="1">$I124*(J82/$I82)*('Household Vehicle Occupancy'!$I97/'Household Vehicle Occupancy'!J97)</f>
        <v>1.12066406238469</v>
      </c>
      <c r="K124" s="90">
        <f ca="1">$I124*(K82/$I82)*('Household Vehicle Occupancy'!$I97/'Household Vehicle Occupancy'!K97)</f>
        <v>1.232466881567472</v>
      </c>
      <c r="L124" s="90">
        <f ca="1">$I124*(L82/$I82)*('Household Vehicle Occupancy'!$I97/'Household Vehicle Occupancy'!L97)</f>
        <v>1.3321678660195353</v>
      </c>
      <c r="M124" s="90">
        <f ca="1">$I124*(M82/$I82)*('Household Vehicle Occupancy'!$I97/'Household Vehicle Occupancy'!M97)</f>
        <v>1.4086815345058401</v>
      </c>
      <c r="N124" s="90">
        <f ca="1">$I124*(N82/$I82)*('Household Vehicle Occupancy'!$I97/'Household Vehicle Occupancy'!N97)</f>
        <v>1.4807717413211354</v>
      </c>
      <c r="O124" s="56">
        <f ca="1">$I124*(O82/$I82)*('Household Vehicle Occupancy'!$I97/'Household Vehicle Occupancy'!O97)</f>
        <v>1.5095232351330243</v>
      </c>
      <c r="P124" s="56">
        <f ca="1">$I124*(P82/$I82)*('Household Vehicle Occupancy'!$I97/'Household Vehicle Occupancy'!P97)</f>
        <v>1.5343862622453737</v>
      </c>
      <c r="Q124" s="57">
        <f ca="1">$I124*(Q82/$I82)*('Household Vehicle Occupancy'!$I97/'Household Vehicle Occupancy'!Q97)</f>
        <v>1.5567627237961743</v>
      </c>
    </row>
    <row r="125" spans="3:17" ht="15.5" x14ac:dyDescent="0.35">
      <c r="C125" s="24" t="s">
        <v>9</v>
      </c>
      <c r="D125" s="89"/>
      <c r="E125" s="90"/>
      <c r="G125" s="90"/>
      <c r="I125" s="90">
        <v>1</v>
      </c>
      <c r="J125" s="90">
        <f ca="1">$I125*(J83/$I83)*('Household Vehicle Occupancy'!$I98/'Household Vehicle Occupancy'!J98)</f>
        <v>1.0908173041758944</v>
      </c>
      <c r="K125" s="90">
        <f ca="1">$I125*(K83/$I83)*('Household Vehicle Occupancy'!$I98/'Household Vehicle Occupancy'!K98)</f>
        <v>1.1734325745199106</v>
      </c>
      <c r="L125" s="90">
        <f ca="1">$I125*(L83/$I83)*('Household Vehicle Occupancy'!$I98/'Household Vehicle Occupancy'!L98)</f>
        <v>1.2406730869838742</v>
      </c>
      <c r="M125" s="90">
        <f ca="1">$I125*(M83/$I83)*('Household Vehicle Occupancy'!$I98/'Household Vehicle Occupancy'!M98)</f>
        <v>1.2828178391404812</v>
      </c>
      <c r="N125" s="90">
        <f ca="1">$I125*(N83/$I83)*('Household Vehicle Occupancy'!$I98/'Household Vehicle Occupancy'!N98)</f>
        <v>1.3162873073836683</v>
      </c>
      <c r="O125" s="56">
        <f ca="1">$I125*(O83/$I83)*('Household Vehicle Occupancy'!$I98/'Household Vehicle Occupancy'!O98)</f>
        <v>1.3102639646334253</v>
      </c>
      <c r="P125" s="56">
        <f ca="1">$I125*(P83/$I83)*('Household Vehicle Occupancy'!$I98/'Household Vehicle Occupancy'!P98)</f>
        <v>1.3001833475927527</v>
      </c>
      <c r="Q125" s="57">
        <f ca="1">$I125*(Q83/$I83)*('Household Vehicle Occupancy'!$I98/'Household Vehicle Occupancy'!Q98)</f>
        <v>1.2874757617704264</v>
      </c>
    </row>
    <row r="126" spans="3:17" ht="15.5" x14ac:dyDescent="0.35">
      <c r="C126" s="24" t="s">
        <v>10</v>
      </c>
      <c r="D126" s="89"/>
      <c r="E126" s="90"/>
      <c r="G126" s="90"/>
      <c r="I126" s="90">
        <v>1</v>
      </c>
      <c r="J126" s="90">
        <f ca="1">$I126*(J84/$I84)*('Household Vehicle Occupancy'!$I99/'Household Vehicle Occupancy'!J99)</f>
        <v>1.0602462867524793</v>
      </c>
      <c r="K126" s="90">
        <f ca="1">$I126*(K84/$I84)*('Household Vehicle Occupancy'!$I99/'Household Vehicle Occupancy'!K99)</f>
        <v>1.110375566805851</v>
      </c>
      <c r="L126" s="90">
        <f ca="1">$I126*(L84/$I84)*('Household Vehicle Occupancy'!$I99/'Household Vehicle Occupancy'!L99)</f>
        <v>1.1435460555710397</v>
      </c>
      <c r="M126" s="90">
        <f ca="1">$I126*(M84/$I84)*('Household Vehicle Occupancy'!$I99/'Household Vehicle Occupancy'!M99)</f>
        <v>1.1519339881752371</v>
      </c>
      <c r="N126" s="90">
        <f ca="1">$I126*(N84/$I84)*('Household Vehicle Occupancy'!$I99/'Household Vehicle Occupancy'!N99)</f>
        <v>1.1545679085626877</v>
      </c>
      <c r="O126" s="56">
        <f ca="1">$I126*(O84/$I84)*('Household Vehicle Occupancy'!$I99/'Household Vehicle Occupancy'!O99)</f>
        <v>1.1213988846902734</v>
      </c>
      <c r="P126" s="56">
        <f ca="1">$I126*(P84/$I84)*('Household Vehicle Occupancy'!$I99/'Household Vehicle Occupancy'!P99)</f>
        <v>1.0857201671184584</v>
      </c>
      <c r="Q126" s="57">
        <f ca="1">$I126*(Q84/$I84)*('Household Vehicle Occupancy'!$I99/'Household Vehicle Occupancy'!Q99)</f>
        <v>1.0489234269098562</v>
      </c>
    </row>
    <row r="127" spans="3:17" ht="15.5" x14ac:dyDescent="0.35">
      <c r="C127" s="24" t="s">
        <v>11</v>
      </c>
      <c r="D127" s="89"/>
      <c r="E127" s="90"/>
      <c r="G127" s="90"/>
      <c r="I127" s="90">
        <v>1</v>
      </c>
      <c r="J127" s="90">
        <f ca="1">$I127*(J85/$I85)*('Household Vehicle Occupancy'!$I100/'Household Vehicle Occupancy'!J100)</f>
        <v>1.1405634407026357</v>
      </c>
      <c r="K127" s="90">
        <f ca="1">$I127*(K85/$I85)*('Household Vehicle Occupancy'!$I100/'Household Vehicle Occupancy'!K100)</f>
        <v>1.2688763663235025</v>
      </c>
      <c r="L127" s="90">
        <f ca="1">$I127*(L85/$I85)*('Household Vehicle Occupancy'!$I100/'Household Vehicle Occupancy'!L100)</f>
        <v>1.3869149251598782</v>
      </c>
      <c r="M127" s="90">
        <f ca="1">$I127*(M85/$I85)*('Household Vehicle Occupancy'!$I100/'Household Vehicle Occupancy'!M100)</f>
        <v>1.4830744448902655</v>
      </c>
      <c r="N127" s="90">
        <f ca="1">$I127*(N85/$I85)*('Household Vehicle Occupancy'!$I100/'Household Vehicle Occupancy'!N100)</f>
        <v>1.5761749510896026</v>
      </c>
      <c r="O127" s="56">
        <f ca="1">$I127*(O85/$I85)*('Household Vehicle Occupancy'!$I100/'Household Vehicle Occupancy'!O100)</f>
        <v>1.6244105053133471</v>
      </c>
      <c r="P127" s="56">
        <f ca="1">$I127*(P85/$I85)*('Household Vehicle Occupancy'!$I100/'Household Vehicle Occupancy'!P100)</f>
        <v>1.6689382334094811</v>
      </c>
      <c r="Q127" s="57">
        <f ca="1">$I127*(Q85/$I85)*('Household Vehicle Occupancy'!$I100/'Household Vehicle Occupancy'!Q100)</f>
        <v>1.7111497039157713</v>
      </c>
    </row>
    <row r="128" spans="3:17" ht="15.5" x14ac:dyDescent="0.35">
      <c r="C128" s="24" t="s">
        <v>12</v>
      </c>
      <c r="D128" s="89"/>
      <c r="E128" s="90"/>
      <c r="G128" s="90"/>
      <c r="I128" s="90">
        <v>1</v>
      </c>
      <c r="J128" s="90">
        <f ca="1">$I128*(J86/$I86)*('Household Vehicle Occupancy'!$I101/'Household Vehicle Occupancy'!J101)</f>
        <v>1.1386852851133071</v>
      </c>
      <c r="K128" s="90">
        <f ca="1">$I128*(K86/$I86)*('Household Vehicle Occupancy'!$I101/'Household Vehicle Occupancy'!K101)</f>
        <v>1.2617806140631243</v>
      </c>
      <c r="L128" s="90">
        <f ca="1">$I128*(L86/$I86)*('Household Vehicle Occupancy'!$I101/'Household Vehicle Occupancy'!L101)</f>
        <v>1.3742073115304778</v>
      </c>
      <c r="M128" s="90">
        <f ca="1">$I128*(M86/$I86)*('Household Vehicle Occupancy'!$I101/'Household Vehicle Occupancy'!M101)</f>
        <v>1.4631724117587426</v>
      </c>
      <c r="N128" s="90">
        <f ca="1">$I128*(N86/$I86)*('Household Vehicle Occupancy'!$I101/'Household Vehicle Occupancy'!N101)</f>
        <v>1.5488114774240338</v>
      </c>
      <c r="O128" s="56">
        <f ca="1">$I128*(O86/$I86)*('Household Vehicle Occupancy'!$I101/'Household Vehicle Occupancy'!O101)</f>
        <v>1.588579805885465</v>
      </c>
      <c r="P128" s="56">
        <f ca="1">$I128*(P86/$I86)*('Household Vehicle Occupancy'!$I101/'Household Vehicle Occupancy'!P101)</f>
        <v>1.6242531810137399</v>
      </c>
      <c r="Q128" s="57">
        <f ca="1">$I128*(Q86/$I86)*('Household Vehicle Occupancy'!$I101/'Household Vehicle Occupancy'!Q101)</f>
        <v>1.657241715135346</v>
      </c>
    </row>
    <row r="129" spans="3:17" ht="16" thickBot="1" x14ac:dyDescent="0.4">
      <c r="C129" s="25" t="s">
        <v>13</v>
      </c>
      <c r="D129" s="91"/>
      <c r="E129" s="92"/>
      <c r="G129" s="92"/>
      <c r="I129" s="92">
        <v>1</v>
      </c>
      <c r="J129" s="92">
        <f ca="1">$I129*(J87/$I87)*('Household Vehicle Occupancy'!$I102/'Household Vehicle Occupancy'!J102)</f>
        <v>1.0689039135778009</v>
      </c>
      <c r="K129" s="92">
        <f ca="1">$I129*(K87/$I87)*('Household Vehicle Occupancy'!$I102/'Household Vehicle Occupancy'!K102)</f>
        <v>1.1310219416007448</v>
      </c>
      <c r="L129" s="92">
        <f ca="1">$I129*(L87/$I87)*('Household Vehicle Occupancy'!$I102/'Household Vehicle Occupancy'!L102)</f>
        <v>1.1783267889038693</v>
      </c>
      <c r="M129" s="92">
        <f ca="1">$I129*(M87/$I87)*('Household Vehicle Occupancy'!$I102/'Household Vehicle Occupancy'!M102)</f>
        <v>1.2016714629997696</v>
      </c>
      <c r="N129" s="92">
        <f ca="1">$I129*(N87/$I87)*('Household Vehicle Occupancy'!$I102/'Household Vehicle Occupancy'!N102)</f>
        <v>1.2188076183324745</v>
      </c>
      <c r="O129" s="59">
        <f ca="1">$I129*(O87/$I87)*('Household Vehicle Occupancy'!$I102/'Household Vehicle Occupancy'!O102)</f>
        <v>1.1987910922157377</v>
      </c>
      <c r="P129" s="59">
        <f ca="1">$I129*(P87/$I87)*('Household Vehicle Occupancy'!$I102/'Household Vehicle Occupancy'!P102)</f>
        <v>1.1753549285235736</v>
      </c>
      <c r="Q129" s="60">
        <f ca="1">$I129*(Q87/$I87)*('Household Vehicle Occupancy'!$I102/'Household Vehicle Occupancy'!Q102)</f>
        <v>1.1499068965264359</v>
      </c>
    </row>
    <row r="130" spans="3:17" ht="16" thickTop="1" x14ac:dyDescent="0.35">
      <c r="C130" s="130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87"/>
      <c r="P130" s="87"/>
      <c r="Q130" s="87"/>
    </row>
    <row r="131" spans="3:17" ht="15.5" x14ac:dyDescent="0.35">
      <c r="C131" s="128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</row>
    <row r="132" spans="3:17" ht="15.5" x14ac:dyDescent="0.35">
      <c r="C132" s="128"/>
      <c r="D132" s="167"/>
    </row>
    <row r="133" spans="3:17" ht="16" thickBot="1" x14ac:dyDescent="0.4">
      <c r="C133" s="170"/>
      <c r="D133" s="171"/>
    </row>
    <row r="134" spans="3:17" ht="16" thickTop="1" x14ac:dyDescent="0.35">
      <c r="C134" s="32" t="s">
        <v>150</v>
      </c>
      <c r="D134" s="33"/>
      <c r="E134" s="33"/>
      <c r="F134" s="33"/>
      <c r="G134" s="33"/>
      <c r="H134" s="33"/>
      <c r="I134" s="33"/>
      <c r="J134" s="34"/>
      <c r="K134" s="34"/>
      <c r="L134" s="34"/>
      <c r="M134" s="34"/>
      <c r="N134" s="34"/>
      <c r="O134" s="34"/>
      <c r="P134" s="34"/>
      <c r="Q134" s="35"/>
    </row>
    <row r="135" spans="3:17" ht="13.5" thickBot="1" x14ac:dyDescent="0.35">
      <c r="C135" s="36"/>
      <c r="D135" s="37" t="s">
        <v>25</v>
      </c>
      <c r="E135" s="37" t="s">
        <v>37</v>
      </c>
      <c r="F135" s="37" t="s">
        <v>38</v>
      </c>
      <c r="G135" s="37" t="s">
        <v>177</v>
      </c>
      <c r="H135" s="37" t="s">
        <v>178</v>
      </c>
      <c r="I135" s="37" t="s">
        <v>26</v>
      </c>
      <c r="J135" s="37" t="s">
        <v>27</v>
      </c>
      <c r="K135" s="37" t="s">
        <v>28</v>
      </c>
      <c r="L135" s="37" t="s">
        <v>29</v>
      </c>
      <c r="M135" s="37" t="s">
        <v>30</v>
      </c>
      <c r="N135" s="37" t="s">
        <v>31</v>
      </c>
      <c r="O135" s="37" t="s">
        <v>174</v>
      </c>
      <c r="P135" s="37" t="s">
        <v>175</v>
      </c>
      <c r="Q135" s="38" t="s">
        <v>176</v>
      </c>
    </row>
    <row r="136" spans="3:17" ht="14" thickTop="1" thickBot="1" x14ac:dyDescent="0.35">
      <c r="C136" s="18"/>
      <c r="D136" s="65" t="s">
        <v>39</v>
      </c>
      <c r="E136" s="65" t="s">
        <v>39</v>
      </c>
      <c r="F136" s="71" t="s">
        <v>39</v>
      </c>
      <c r="G136" s="65" t="s">
        <v>39</v>
      </c>
      <c r="H136" s="71" t="s">
        <v>39</v>
      </c>
      <c r="I136" s="65" t="s">
        <v>39</v>
      </c>
      <c r="J136" s="65" t="s">
        <v>32</v>
      </c>
      <c r="K136" s="65" t="s">
        <v>32</v>
      </c>
      <c r="L136" s="65" t="s">
        <v>32</v>
      </c>
      <c r="M136" s="65" t="s">
        <v>32</v>
      </c>
      <c r="N136" s="65" t="s">
        <v>32</v>
      </c>
      <c r="O136" s="65" t="s">
        <v>32</v>
      </c>
      <c r="P136" s="65" t="s">
        <v>32</v>
      </c>
      <c r="Q136" s="66" t="s">
        <v>32</v>
      </c>
    </row>
    <row r="137" spans="3:17" ht="16" thickTop="1" x14ac:dyDescent="0.35">
      <c r="C137" s="27" t="s">
        <v>0</v>
      </c>
      <c r="D137" s="86"/>
      <c r="E137" s="87"/>
      <c r="G137" s="87"/>
      <c r="I137" s="87">
        <v>1</v>
      </c>
      <c r="J137" s="87">
        <f ca="1">$I137*('Heavy Bus Supporting Data'!J$28/'Heavy Bus Supporting Data'!$I$28)*('Household Vehicle Occupancy'!$I89/'Household Vehicle Occupancy'!J89)</f>
        <v>1.2893584384998755</v>
      </c>
      <c r="K137" s="87">
        <f ca="1">$I137*('Heavy Bus Supporting Data'!K$28/'Heavy Bus Supporting Data'!$I$28)*('Household Vehicle Occupancy'!$I89/'Household Vehicle Occupancy'!K89)</f>
        <v>1.5430104750447631</v>
      </c>
      <c r="L137" s="87">
        <f ca="1">$I137*('Heavy Bus Supporting Data'!L$28/'Heavy Bus Supporting Data'!$I$28)*('Household Vehicle Occupancy'!$I89/'Household Vehicle Occupancy'!L89)</f>
        <v>1.8032085370038224</v>
      </c>
      <c r="M137" s="87">
        <f ca="1">$I137*('Heavy Bus Supporting Data'!M$28/'Heavy Bus Supporting Data'!$I$28)*('Household Vehicle Occupancy'!$I89/'Household Vehicle Occupancy'!M89)</f>
        <v>2.1035227769978415</v>
      </c>
      <c r="N137" s="87">
        <f ca="1">$I137*('Heavy Bus Supporting Data'!N$28/'Heavy Bus Supporting Data'!$I$28)*('Household Vehicle Occupancy'!$I89/'Household Vehicle Occupancy'!N89)</f>
        <v>2.453806835458165</v>
      </c>
      <c r="O137" s="87">
        <f ca="1">$I137*('Heavy Bus Supporting Data'!O$28/'Heavy Bus Supporting Data'!$I$28)*('Household Vehicle Occupancy'!$I89/'Household Vehicle Occupancy'!O89)</f>
        <v>2.8441235436488954</v>
      </c>
      <c r="P137" s="87">
        <f ca="1">$I137*('Heavy Bus Supporting Data'!P$28/'Heavy Bus Supporting Data'!$I$28)*('Household Vehicle Occupancy'!$I89/'Household Vehicle Occupancy'!P89)</f>
        <v>3.2965244423391296</v>
      </c>
      <c r="Q137" s="88">
        <f ca="1">$I137*('Heavy Bus Supporting Data'!Q$28/'Heavy Bus Supporting Data'!$I$28)*('Household Vehicle Occupancy'!$I89/'Household Vehicle Occupancy'!Q89)</f>
        <v>3.8208848571452143</v>
      </c>
    </row>
    <row r="138" spans="3:17" ht="15.5" x14ac:dyDescent="0.35">
      <c r="C138" s="24" t="s">
        <v>1</v>
      </c>
      <c r="D138" s="89"/>
      <c r="E138" s="90"/>
      <c r="G138" s="90"/>
      <c r="I138" s="90">
        <v>1</v>
      </c>
      <c r="J138" s="90">
        <f ca="1">$I138*('Heavy Bus Supporting Data'!J$28/'Heavy Bus Supporting Data'!$I$28)*('Household Vehicle Occupancy'!$I90/'Household Vehicle Occupancy'!J90)</f>
        <v>1.2936566103633156</v>
      </c>
      <c r="K138" s="90">
        <f ca="1">$I138*('Heavy Bus Supporting Data'!K$28/'Heavy Bus Supporting Data'!$I$28)*('Household Vehicle Occupancy'!$I90/'Household Vehicle Occupancy'!K90)</f>
        <v>1.5530580033878405</v>
      </c>
      <c r="L138" s="90">
        <f ca="1">$I138*('Heavy Bus Supporting Data'!L$28/'Heavy Bus Supporting Data'!$I$28)*('Household Vehicle Occupancy'!$I90/'Household Vehicle Occupancy'!L90)</f>
        <v>1.8167454998884311</v>
      </c>
      <c r="M138" s="90">
        <f ca="1">$I138*('Heavy Bus Supporting Data'!M$28/'Heavy Bus Supporting Data'!$I$28)*('Household Vehicle Occupancy'!$I90/'Household Vehicle Occupancy'!M90)</f>
        <v>2.1220360484056289</v>
      </c>
      <c r="N138" s="90">
        <f ca="1">$I138*('Heavy Bus Supporting Data'!N$28/'Heavy Bus Supporting Data'!$I$28)*('Household Vehicle Occupancy'!$I90/'Household Vehicle Occupancy'!N90)</f>
        <v>2.4787636333643959</v>
      </c>
      <c r="O138" s="56">
        <f ca="1">$I138*('Heavy Bus Supporting Data'!O$28/'Heavy Bus Supporting Data'!$I$28)*('Household Vehicle Occupancy'!$I90/'Household Vehicle Occupancy'!O90)</f>
        <v>2.8777878774618388</v>
      </c>
      <c r="P138" s="56">
        <f ca="1">$I138*('Heavy Bus Supporting Data'!P$28/'Heavy Bus Supporting Data'!$I$28)*('Household Vehicle Occupancy'!$I90/'Household Vehicle Occupancy'!P90)</f>
        <v>3.3414113146482429</v>
      </c>
      <c r="Q138" s="57">
        <f ca="1">$I138*('Heavy Bus Supporting Data'!Q$28/'Heavy Bus Supporting Data'!$I$28)*('Household Vehicle Occupancy'!$I90/'Household Vehicle Occupancy'!Q90)</f>
        <v>3.8805132977256851</v>
      </c>
    </row>
    <row r="139" spans="3:17" ht="15.5" x14ac:dyDescent="0.35">
      <c r="C139" s="24" t="s">
        <v>2</v>
      </c>
      <c r="D139" s="89"/>
      <c r="E139" s="90"/>
      <c r="G139" s="90"/>
      <c r="I139" s="90">
        <v>1</v>
      </c>
      <c r="J139" s="90">
        <f ca="1">$I139*('Heavy Bus Supporting Data'!J$28/'Heavy Bus Supporting Data'!$I$28)*('Household Vehicle Occupancy'!$I91/'Household Vehicle Occupancy'!J91)</f>
        <v>1.2881183624853516</v>
      </c>
      <c r="K139" s="90">
        <f ca="1">$I139*('Heavy Bus Supporting Data'!K$28/'Heavy Bus Supporting Data'!$I$28)*('Household Vehicle Occupancy'!$I91/'Household Vehicle Occupancy'!K91)</f>
        <v>1.5401055340207794</v>
      </c>
      <c r="L139" s="90">
        <f ca="1">$I139*('Heavy Bus Supporting Data'!L$28/'Heavy Bus Supporting Data'!$I$28)*('Household Vehicle Occupancy'!$I91/'Household Vehicle Occupancy'!L91)</f>
        <v>1.7980471390232744</v>
      </c>
      <c r="M139" s="90">
        <f ca="1">$I139*('Heavy Bus Supporting Data'!M$28/'Heavy Bus Supporting Data'!$I$28)*('Household Vehicle Occupancy'!$I91/'Household Vehicle Occupancy'!M91)</f>
        <v>2.0959582377548824</v>
      </c>
      <c r="N139" s="90">
        <f ca="1">$I139*('Heavy Bus Supporting Data'!N$28/'Heavy Bus Supporting Data'!$I$28)*('Household Vehicle Occupancy'!$I91/'Household Vehicle Occupancy'!N91)</f>
        <v>2.443199714559162</v>
      </c>
      <c r="O139" s="56">
        <f ca="1">$I139*('Heavy Bus Supporting Data'!O$28/'Heavy Bus Supporting Data'!$I$28)*('Household Vehicle Occupancy'!$I91/'Household Vehicle Occupancy'!O91)</f>
        <v>2.8318956588454696</v>
      </c>
      <c r="P139" s="56">
        <f ca="1">$I139*('Heavy Bus Supporting Data'!P$28/'Heavy Bus Supporting Data'!$I$28)*('Household Vehicle Occupancy'!$I91/'Household Vehicle Occupancy'!P91)</f>
        <v>3.2824288260725876</v>
      </c>
      <c r="Q139" s="57">
        <f ca="1">$I139*('Heavy Bus Supporting Data'!Q$28/'Heavy Bus Supporting Data'!$I$28)*('Household Vehicle Occupancy'!$I91/'Household Vehicle Occupancy'!Q91)</f>
        <v>3.8046369649680303</v>
      </c>
    </row>
    <row r="140" spans="3:17" ht="15.5" x14ac:dyDescent="0.35">
      <c r="C140" s="24" t="s">
        <v>3</v>
      </c>
      <c r="D140" s="89"/>
      <c r="E140" s="90"/>
      <c r="G140" s="90"/>
      <c r="I140" s="90">
        <v>1</v>
      </c>
      <c r="J140" s="90">
        <f ca="1">$I140*('Heavy Bus Supporting Data'!J$28/'Heavy Bus Supporting Data'!$I$28)*('Household Vehicle Occupancy'!$I92/'Household Vehicle Occupancy'!J92)</f>
        <v>1.2898002029941626</v>
      </c>
      <c r="K140" s="90">
        <f ca="1">$I140*('Heavy Bus Supporting Data'!K$28/'Heavy Bus Supporting Data'!$I$28)*('Household Vehicle Occupancy'!$I92/'Household Vehicle Occupancy'!K92)</f>
        <v>1.5440526438668669</v>
      </c>
      <c r="L140" s="90">
        <f ca="1">$I140*('Heavy Bus Supporting Data'!L$28/'Heavy Bus Supporting Data'!$I$28)*('Household Vehicle Occupancy'!$I92/'Household Vehicle Occupancy'!L92)</f>
        <v>1.8050690066994788</v>
      </c>
      <c r="M140" s="90">
        <f ca="1">$I140*('Heavy Bus Supporting Data'!M$28/'Heavy Bus Supporting Data'!$I$28)*('Household Vehicle Occupancy'!$I92/'Household Vehicle Occupancy'!M92)</f>
        <v>2.1063054344146259</v>
      </c>
      <c r="N140" s="90">
        <f ca="1">$I140*('Heavy Bus Supporting Data'!N$28/'Heavy Bus Supporting Data'!$I$28)*('Household Vehicle Occupancy'!$I92/'Household Vehicle Occupancy'!N92)</f>
        <v>2.4577820881073347</v>
      </c>
      <c r="O140" s="56">
        <f ca="1">$I140*('Heavy Bus Supporting Data'!O$28/'Heavy Bus Supporting Data'!$I$28)*('Household Vehicle Occupancy'!$I92/'Household Vehicle Occupancy'!O92)</f>
        <v>2.8487088689725262</v>
      </c>
      <c r="P140" s="56">
        <f ca="1">$I140*('Heavy Bus Supporting Data'!P$28/'Heavy Bus Supporting Data'!$I$28)*('Household Vehicle Occupancy'!$I92/'Household Vehicle Occupancy'!P92)</f>
        <v>3.3018132731100067</v>
      </c>
      <c r="Q140" s="57">
        <f ca="1">$I140*('Heavy Bus Supporting Data'!Q$28/'Heavy Bus Supporting Data'!$I$28)*('Household Vehicle Occupancy'!$I92/'Household Vehicle Occupancy'!Q92)</f>
        <v>3.826984923167561</v>
      </c>
    </row>
    <row r="141" spans="3:17" ht="15.5" x14ac:dyDescent="0.35">
      <c r="C141" s="24" t="s">
        <v>4</v>
      </c>
      <c r="D141" s="89"/>
      <c r="E141" s="90"/>
      <c r="G141" s="90"/>
      <c r="I141" s="90">
        <v>1</v>
      </c>
      <c r="J141" s="90">
        <f ca="1">$I141*('Heavy Bus Supporting Data'!J$28/'Heavy Bus Supporting Data'!$I$28)*('Household Vehicle Occupancy'!$I93/'Household Vehicle Occupancy'!J93)</f>
        <v>1.2901538195993258</v>
      </c>
      <c r="K141" s="90">
        <f ca="1">$I141*('Heavy Bus Supporting Data'!K$28/'Heavy Bus Supporting Data'!$I$28)*('Household Vehicle Occupancy'!$I93/'Household Vehicle Occupancy'!K93)</f>
        <v>1.5449015180893821</v>
      </c>
      <c r="L141" s="90">
        <f ca="1">$I141*('Heavy Bus Supporting Data'!L$28/'Heavy Bus Supporting Data'!$I$28)*('Household Vehicle Occupancy'!$I93/'Household Vehicle Occupancy'!L93)</f>
        <v>1.8065997087251138</v>
      </c>
      <c r="M141" s="90">
        <f ca="1">$I141*('Heavy Bus Supporting Data'!M$28/'Heavy Bus Supporting Data'!$I$28)*('Household Vehicle Occupancy'!$I93/'Household Vehicle Occupancy'!M93)</f>
        <v>2.108686287680972</v>
      </c>
      <c r="N141" s="90">
        <f ca="1">$I141*('Heavy Bus Supporting Data'!N$28/'Heavy Bus Supporting Data'!$I$28)*('Household Vehicle Occupancy'!$I93/'Household Vehicle Occupancy'!N93)</f>
        <v>2.4612994084446687</v>
      </c>
      <c r="O141" s="56">
        <f ca="1">$I141*('Heavy Bus Supporting Data'!O$28/'Heavy Bus Supporting Data'!$I$28)*('Household Vehicle Occupancy'!$I93/'Household Vehicle Occupancy'!O93)</f>
        <v>2.852769850593039</v>
      </c>
      <c r="P141" s="56">
        <f ca="1">$I141*('Heavy Bus Supporting Data'!P$28/'Heavy Bus Supporting Data'!$I$28)*('Household Vehicle Occupancy'!$I93/'Household Vehicle Occupancy'!P93)</f>
        <v>3.3065018710744387</v>
      </c>
      <c r="Q141" s="57">
        <f ca="1">$I141*('Heavy Bus Supporting Data'!Q$28/'Heavy Bus Supporting Data'!$I$28)*('Household Vehicle Occupancy'!$I93/'Household Vehicle Occupancy'!Q93)</f>
        <v>3.8323980584169495</v>
      </c>
    </row>
    <row r="142" spans="3:17" ht="15.5" x14ac:dyDescent="0.35">
      <c r="C142" s="24" t="s">
        <v>5</v>
      </c>
      <c r="D142" s="89"/>
      <c r="E142" s="90"/>
      <c r="G142" s="90"/>
      <c r="I142" s="90">
        <v>1</v>
      </c>
      <c r="J142" s="90">
        <f ca="1">$I142*('Heavy Bus Supporting Data'!J$28/'Heavy Bus Supporting Data'!$I$28)*('Household Vehicle Occupancy'!$I94/'Household Vehicle Occupancy'!J94)</f>
        <v>1.2890238925153079</v>
      </c>
      <c r="K142" s="90">
        <f ca="1">$I142*('Heavy Bus Supporting Data'!K$28/'Heavy Bus Supporting Data'!$I$28)*('Household Vehicle Occupancy'!$I94/'Household Vehicle Occupancy'!K94)</f>
        <v>1.5422358471302962</v>
      </c>
      <c r="L142" s="90">
        <f ca="1">$I142*('Heavy Bus Supporting Data'!L$28/'Heavy Bus Supporting Data'!$I$28)*('Household Vehicle Occupancy'!$I94/'Household Vehicle Occupancy'!L94)</f>
        <v>1.8018376117247252</v>
      </c>
      <c r="M142" s="90">
        <f ca="1">$I142*('Heavy Bus Supporting Data'!M$28/'Heavy Bus Supporting Data'!$I$28)*('Household Vehicle Occupancy'!$I94/'Household Vehicle Occupancy'!M94)</f>
        <v>2.1015985948372884</v>
      </c>
      <c r="N142" s="90">
        <f ca="1">$I142*('Heavy Bus Supporting Data'!N$28/'Heavy Bus Supporting Data'!$I$28)*('Household Vehicle Occupancy'!$I94/'Household Vehicle Occupancy'!N94)</f>
        <v>2.4512162171766501</v>
      </c>
      <c r="O142" s="56">
        <f ca="1">$I142*('Heavy Bus Supporting Data'!O$28/'Heavy Bus Supporting Data'!$I$28)*('Household Vehicle Occupancy'!$I94/'Household Vehicle Occupancy'!O94)</f>
        <v>2.8411419912731168</v>
      </c>
      <c r="P142" s="56">
        <f ca="1">$I142*('Heavy Bus Supporting Data'!P$28/'Heavy Bus Supporting Data'!$I$28)*('Household Vehicle Occupancy'!$I94/'Household Vehicle Occupancy'!P94)</f>
        <v>3.293093256920395</v>
      </c>
      <c r="Q142" s="57">
        <f ca="1">$I142*('Heavy Bus Supporting Data'!Q$28/'Heavy Bus Supporting Data'!$I$28)*('Household Vehicle Occupancy'!$I94/'Household Vehicle Occupancy'!Q94)</f>
        <v>3.8169365571526552</v>
      </c>
    </row>
    <row r="143" spans="3:17" ht="15.5" x14ac:dyDescent="0.35">
      <c r="C143" s="24" t="s">
        <v>6</v>
      </c>
      <c r="D143" s="89"/>
      <c r="E143" s="90"/>
      <c r="G143" s="90"/>
      <c r="I143" s="90">
        <v>1</v>
      </c>
      <c r="J143" s="90">
        <f ca="1">$I143*('Heavy Bus Supporting Data'!J$28/'Heavy Bus Supporting Data'!$I$28)*('Household Vehicle Occupancy'!$I95/'Household Vehicle Occupancy'!J95)</f>
        <v>1.2898276470423866</v>
      </c>
      <c r="K143" s="90">
        <f ca="1">$I143*('Heavy Bus Supporting Data'!K$28/'Heavy Bus Supporting Data'!$I$28)*('Household Vehicle Occupancy'!$I95/'Household Vehicle Occupancy'!K95)</f>
        <v>1.544119244847789</v>
      </c>
      <c r="L143" s="90">
        <f ca="1">$I143*('Heavy Bus Supporting Data'!L$28/'Heavy Bus Supporting Data'!$I$28)*('Household Vehicle Occupancy'!$I95/'Household Vehicle Occupancy'!L95)</f>
        <v>1.8051900670640384</v>
      </c>
      <c r="M143" s="90">
        <f ca="1">$I143*('Heavy Bus Supporting Data'!M$28/'Heavy Bus Supporting Data'!$I$28)*('Household Vehicle Occupancy'!$I95/'Household Vehicle Occupancy'!M95)</f>
        <v>2.1065001628847573</v>
      </c>
      <c r="N143" s="90">
        <f ca="1">$I143*('Heavy Bus Supporting Data'!N$28/'Heavy Bus Supporting Data'!$I$28)*('Household Vehicle Occupancy'!$I95/'Household Vehicle Occupancy'!N95)</f>
        <v>2.4580779388549621</v>
      </c>
      <c r="O143" s="56">
        <f ca="1">$I143*('Heavy Bus Supporting Data'!O$28/'Heavy Bus Supporting Data'!$I$28)*('Household Vehicle Occupancy'!$I95/'Household Vehicle Occupancy'!O95)</f>
        <v>2.8490507419073641</v>
      </c>
      <c r="P143" s="56">
        <f ca="1">$I143*('Heavy Bus Supporting Data'!P$28/'Heavy Bus Supporting Data'!$I$28)*('Household Vehicle Occupancy'!$I95/'Household Vehicle Occupancy'!P95)</f>
        <v>3.302208325901784</v>
      </c>
      <c r="Q143" s="57">
        <f ca="1">$I143*('Heavy Bus Supporting Data'!Q$28/'Heavy Bus Supporting Data'!$I$28)*('Household Vehicle Occupancy'!$I95/'Household Vehicle Occupancy'!Q95)</f>
        <v>3.8274414274011255</v>
      </c>
    </row>
    <row r="144" spans="3:17" ht="15.5" x14ac:dyDescent="0.35">
      <c r="C144" s="24" t="s">
        <v>7</v>
      </c>
      <c r="D144" s="89"/>
      <c r="E144" s="90"/>
      <c r="G144" s="90"/>
      <c r="I144" s="90">
        <v>1</v>
      </c>
      <c r="J144" s="90">
        <f ca="1">$I144*('Heavy Bus Supporting Data'!J$28/'Heavy Bus Supporting Data'!$I$28)*('Household Vehicle Occupancy'!$I96/'Household Vehicle Occupancy'!J96)</f>
        <v>1.2879396532971694</v>
      </c>
      <c r="K144" s="90">
        <f ca="1">$I144*('Heavy Bus Supporting Data'!K$28/'Heavy Bus Supporting Data'!$I$28)*('Household Vehicle Occupancy'!$I96/'Household Vehicle Occupancy'!K96)</f>
        <v>1.5396933289551686</v>
      </c>
      <c r="L144" s="90">
        <f ca="1">$I144*('Heavy Bus Supporting Data'!L$28/'Heavy Bus Supporting Data'!$I$28)*('Household Vehicle Occupancy'!$I96/'Household Vehicle Occupancy'!L96)</f>
        <v>1.7973154485179714</v>
      </c>
      <c r="M144" s="90">
        <f ca="1">$I144*('Heavy Bus Supporting Data'!M$28/'Heavy Bus Supporting Data'!$I$28)*('Household Vehicle Occupancy'!$I96/'Household Vehicle Occupancy'!M96)</f>
        <v>2.0949651424651017</v>
      </c>
      <c r="N144" s="90">
        <f ca="1">$I144*('Heavy Bus Supporting Data'!N$28/'Heavy Bus Supporting Data'!$I$28)*('Household Vehicle Occupancy'!$I96/'Household Vehicle Occupancy'!N96)</f>
        <v>2.4419051599003221</v>
      </c>
      <c r="O144" s="56">
        <f ca="1">$I144*('Heavy Bus Supporting Data'!O$28/'Heavy Bus Supporting Data'!$I$28)*('Household Vehicle Occupancy'!$I96/'Household Vehicle Occupancy'!O96)</f>
        <v>2.8304084231861713</v>
      </c>
      <c r="P144" s="56">
        <f ca="1">$I144*('Heavy Bus Supporting Data'!P$28/'Heavy Bus Supporting Data'!$I$28)*('Household Vehicle Occupancy'!$I96/'Household Vehicle Occupancy'!P96)</f>
        <v>3.2807204551476254</v>
      </c>
      <c r="Q144" s="57">
        <f ca="1">$I144*('Heavy Bus Supporting Data'!Q$28/'Heavy Bus Supporting Data'!$I$28)*('Household Vehicle Occupancy'!$I96/'Household Vehicle Occupancy'!Q96)</f>
        <v>3.802674829491631</v>
      </c>
    </row>
    <row r="145" spans="3:17" ht="15.5" x14ac:dyDescent="0.35">
      <c r="C145" s="24" t="s">
        <v>8</v>
      </c>
      <c r="D145" s="89"/>
      <c r="E145" s="90"/>
      <c r="G145" s="90"/>
      <c r="I145" s="90">
        <v>1</v>
      </c>
      <c r="J145" s="90">
        <f ca="1">$I145*('Heavy Bus Supporting Data'!J$28/'Heavy Bus Supporting Data'!$I$28)*('Household Vehicle Occupancy'!$I97/'Household Vehicle Occupancy'!J97)</f>
        <v>1.2900808938405122</v>
      </c>
      <c r="K145" s="90">
        <f ca="1">$I145*('Heavy Bus Supporting Data'!K$28/'Heavy Bus Supporting Data'!$I$28)*('Household Vehicle Occupancy'!$I97/'Household Vehicle Occupancy'!K97)</f>
        <v>1.544417393040622</v>
      </c>
      <c r="L145" s="90">
        <f ca="1">$I145*('Heavy Bus Supporting Data'!L$28/'Heavy Bus Supporting Data'!$I$28)*('Household Vehicle Occupancy'!$I97/'Household Vehicle Occupancy'!L97)</f>
        <v>1.8050487862107729</v>
      </c>
      <c r="M145" s="90">
        <f ca="1">$I145*('Heavy Bus Supporting Data'!M$28/'Heavy Bus Supporting Data'!$I$28)*('Household Vehicle Occupancy'!$I97/'Household Vehicle Occupancy'!M97)</f>
        <v>2.1062890219158388</v>
      </c>
      <c r="N145" s="90">
        <f ca="1">$I145*('Heavy Bus Supporting Data'!N$28/'Heavy Bus Supporting Data'!$I$28)*('Household Vehicle Occupancy'!$I97/'Household Vehicle Occupancy'!N97)</f>
        <v>2.4579891967940206</v>
      </c>
      <c r="O145" s="56">
        <f ca="1">$I145*('Heavy Bus Supporting Data'!O$28/'Heavy Bus Supporting Data'!$I$28)*('Household Vehicle Occupancy'!$I97/'Household Vehicle Occupancy'!O97)</f>
        <v>2.850406637294268</v>
      </c>
      <c r="P145" s="56">
        <f ca="1">$I145*('Heavy Bus Supporting Data'!P$28/'Heavy Bus Supporting Data'!$I$28)*('Household Vehicle Occupancy'!$I97/'Household Vehicle Occupancy'!P97)</f>
        <v>3.305648254882545</v>
      </c>
      <c r="Q145" s="57">
        <f ca="1">$I145*('Heavy Bus Supporting Data'!Q$28/'Heavy Bus Supporting Data'!$I$28)*('Household Vehicle Occupancy'!$I97/'Household Vehicle Occupancy'!Q97)</f>
        <v>3.8337653656669559</v>
      </c>
    </row>
    <row r="146" spans="3:17" ht="15.5" x14ac:dyDescent="0.35">
      <c r="C146" s="24" t="s">
        <v>9</v>
      </c>
      <c r="D146" s="89"/>
      <c r="E146" s="90"/>
      <c r="G146" s="90"/>
      <c r="I146" s="90">
        <v>1</v>
      </c>
      <c r="J146" s="90">
        <f ca="1">$I146*('Heavy Bus Supporting Data'!J$28/'Heavy Bus Supporting Data'!$I$28)*('Household Vehicle Occupancy'!$I98/'Household Vehicle Occupancy'!J98)</f>
        <v>1.2882308873546942</v>
      </c>
      <c r="K146" s="90">
        <f ca="1">$I146*('Heavy Bus Supporting Data'!K$28/'Heavy Bus Supporting Data'!$I$28)*('Household Vehicle Occupancy'!$I98/'Household Vehicle Occupancy'!K98)</f>
        <v>1.5403765703327843</v>
      </c>
      <c r="L146" s="90">
        <f ca="1">$I146*('Heavy Bus Supporting Data'!L$28/'Heavy Bus Supporting Data'!$I$28)*('Household Vehicle Occupancy'!$I98/'Household Vehicle Occupancy'!L98)</f>
        <v>1.7985259336117323</v>
      </c>
      <c r="M146" s="90">
        <f ca="1">$I146*('Heavy Bus Supporting Data'!M$28/'Heavy Bus Supporting Data'!$I$28)*('Household Vehicle Occupancy'!$I98/'Household Vehicle Occupancy'!M98)</f>
        <v>2.0967450933671437</v>
      </c>
      <c r="N146" s="90">
        <f ca="1">$I146*('Heavy Bus Supporting Data'!N$28/'Heavy Bus Supporting Data'!$I$28)*('Household Vehicle Occupancy'!$I98/'Household Vehicle Occupancy'!N98)</f>
        <v>2.4444047624510152</v>
      </c>
      <c r="O146" s="56">
        <f ca="1">$I146*('Heavy Bus Supporting Data'!O$28/'Heavy Bus Supporting Data'!$I$28)*('Household Vehicle Occupancy'!$I98/'Household Vehicle Occupancy'!O98)</f>
        <v>2.8332905726826287</v>
      </c>
      <c r="P146" s="56">
        <f ca="1">$I146*('Heavy Bus Supporting Data'!P$28/'Heavy Bus Supporting Data'!$I$28)*('Household Vehicle Occupancy'!$I98/'Household Vehicle Occupancy'!P98)</f>
        <v>3.2840435571237254</v>
      </c>
      <c r="Q146" s="57">
        <f ca="1">$I146*('Heavy Bus Supporting Data'!Q$28/'Heavy Bus Supporting Data'!$I$28)*('Household Vehicle Occupancy'!$I98/'Household Vehicle Occupancy'!Q98)</f>
        <v>3.8065061958543431</v>
      </c>
    </row>
    <row r="147" spans="3:17" ht="15.5" x14ac:dyDescent="0.35">
      <c r="C147" s="24" t="s">
        <v>10</v>
      </c>
      <c r="D147" s="89"/>
      <c r="E147" s="90"/>
      <c r="G147" s="90"/>
      <c r="I147" s="90">
        <v>1</v>
      </c>
      <c r="J147" s="90">
        <f ca="1">$I147*('Heavy Bus Supporting Data'!J$28/'Heavy Bus Supporting Data'!$I$28)*('Household Vehicle Occupancy'!$I99/'Household Vehicle Occupancy'!J99)</f>
        <v>1.2899177574752034</v>
      </c>
      <c r="K147" s="90">
        <f ca="1">$I147*('Heavy Bus Supporting Data'!K$28/'Heavy Bus Supporting Data'!$I$28)*('Household Vehicle Occupancy'!$I99/'Household Vehicle Occupancy'!K99)</f>
        <v>1.5443349800436201</v>
      </c>
      <c r="L147" s="90">
        <f ca="1">$I147*('Heavy Bus Supporting Data'!L$28/'Heavy Bus Supporting Data'!$I$28)*('Household Vehicle Occupancy'!$I99/'Household Vehicle Occupancy'!L99)</f>
        <v>1.8055784167894338</v>
      </c>
      <c r="M147" s="90">
        <f ca="1">$I147*('Heavy Bus Supporting Data'!M$28/'Heavy Bus Supporting Data'!$I$28)*('Household Vehicle Occupancy'!$I99/'Household Vehicle Occupancy'!M99)</f>
        <v>2.1071016826047386</v>
      </c>
      <c r="N147" s="90">
        <f ca="1">$I147*('Heavy Bus Supporting Data'!N$28/'Heavy Bus Supporting Data'!$I$28)*('Household Vehicle Occupancy'!$I99/'Household Vehicle Occupancy'!N99)</f>
        <v>2.4589634688445656</v>
      </c>
      <c r="O147" s="56">
        <f ca="1">$I147*('Heavy Bus Supporting Data'!O$28/'Heavy Bus Supporting Data'!$I$28)*('Household Vehicle Occupancy'!$I99/'Household Vehicle Occupancy'!O99)</f>
        <v>2.8500730815900805</v>
      </c>
      <c r="P147" s="56">
        <f ca="1">$I147*('Heavy Bus Supporting Data'!P$28/'Heavy Bus Supporting Data'!$I$28)*('Household Vehicle Occupancy'!$I99/'Household Vehicle Occupancy'!P99)</f>
        <v>3.3033885902100057</v>
      </c>
      <c r="Q147" s="57">
        <f ca="1">$I147*('Heavy Bus Supporting Data'!Q$28/'Heavy Bus Supporting Data'!$I$28)*('Household Vehicle Occupancy'!$I99/'Household Vehicle Occupancy'!Q99)</f>
        <v>3.8288039901248743</v>
      </c>
    </row>
    <row r="148" spans="3:17" ht="15.5" x14ac:dyDescent="0.35">
      <c r="C148" s="24" t="s">
        <v>11</v>
      </c>
      <c r="D148" s="89"/>
      <c r="E148" s="90"/>
      <c r="G148" s="90"/>
      <c r="I148" s="90">
        <v>1</v>
      </c>
      <c r="J148" s="90">
        <f ca="1">$I148*('Heavy Bus Supporting Data'!J$28/'Heavy Bus Supporting Data'!$I$28)*('Household Vehicle Occupancy'!$I100/'Household Vehicle Occupancy'!J100)</f>
        <v>1.2887174945779183</v>
      </c>
      <c r="K148" s="90">
        <f ca="1">$I148*('Heavy Bus Supporting Data'!K$28/'Heavy Bus Supporting Data'!$I$28)*('Household Vehicle Occupancy'!$I100/'Household Vehicle Occupancy'!K100)</f>
        <v>1.5415364840056112</v>
      </c>
      <c r="L148" s="90">
        <f ca="1">$I148*('Heavy Bus Supporting Data'!L$28/'Heavy Bus Supporting Data'!$I$28)*('Household Vehicle Occupancy'!$I100/'Household Vehicle Occupancy'!L100)</f>
        <v>1.8006005198027737</v>
      </c>
      <c r="M148" s="90">
        <f ca="1">$I148*('Heavy Bus Supporting Data'!M$28/'Heavy Bus Supporting Data'!$I$28)*('Household Vehicle Occupancy'!$I100/'Household Vehicle Occupancy'!M100)</f>
        <v>2.1000030274431709</v>
      </c>
      <c r="N148" s="90">
        <f ca="1">$I148*('Heavy Bus Supporting Data'!N$28/'Heavy Bus Supporting Data'!$I$28)*('Household Vehicle Occupancy'!$I100/'Household Vehicle Occupancy'!N100)</f>
        <v>2.4492519242497672</v>
      </c>
      <c r="O148" s="56">
        <f ca="1">$I148*('Heavy Bus Supporting Data'!O$28/'Heavy Bus Supporting Data'!$I$28)*('Household Vehicle Occupancy'!$I100/'Household Vehicle Occupancy'!O100)</f>
        <v>2.8388912639162878</v>
      </c>
      <c r="P148" s="56">
        <f ca="1">$I148*('Heavy Bus Supporting Data'!P$28/'Heavy Bus Supporting Data'!$I$28)*('Household Vehicle Occupancy'!$I100/'Household Vehicle Occupancy'!P100)</f>
        <v>3.2905148690791828</v>
      </c>
      <c r="Q148" s="57">
        <f ca="1">$I148*('Heavy Bus Supporting Data'!Q$28/'Heavy Bus Supporting Data'!$I$28)*('Household Vehicle Occupancy'!$I100/'Household Vehicle Occupancy'!Q100)</f>
        <v>3.8139834222862117</v>
      </c>
    </row>
    <row r="149" spans="3:17" ht="15.5" x14ac:dyDescent="0.35">
      <c r="C149" s="24" t="s">
        <v>12</v>
      </c>
      <c r="D149" s="89"/>
      <c r="E149" s="90"/>
      <c r="G149" s="90"/>
      <c r="I149" s="90">
        <v>1</v>
      </c>
      <c r="J149" s="90">
        <f ca="1">$I149*('Heavy Bus Supporting Data'!J$28/'Heavy Bus Supporting Data'!$I$28)*('Household Vehicle Occupancy'!$I101/'Household Vehicle Occupancy'!J101)</f>
        <v>1.2900535921440057</v>
      </c>
      <c r="K149" s="90">
        <f ca="1">$I149*('Heavy Bus Supporting Data'!K$28/'Heavy Bus Supporting Data'!$I$28)*('Household Vehicle Occupancy'!$I101/'Household Vehicle Occupancy'!K101)</f>
        <v>1.544664385295565</v>
      </c>
      <c r="L149" s="90">
        <f ca="1">$I149*('Heavy Bus Supporting Data'!L$28/'Heavy Bus Supporting Data'!$I$28)*('Household Vehicle Occupancy'!$I101/'Household Vehicle Occupancy'!L101)</f>
        <v>1.8061727283967988</v>
      </c>
      <c r="M149" s="90">
        <f ca="1">$I149*('Heavy Bus Supporting Data'!M$28/'Heavy Bus Supporting Data'!$I$28)*('Household Vehicle Occupancy'!$I101/'Household Vehicle Occupancy'!M101)</f>
        <v>2.108045080631987</v>
      </c>
      <c r="N149" s="90">
        <f ca="1">$I149*('Heavy Bus Supporting Data'!N$28/'Heavy Bus Supporting Data'!$I$28)*('Household Vehicle Occupancy'!$I101/'Household Vehicle Occupancy'!N101)</f>
        <v>2.4603771489170883</v>
      </c>
      <c r="O149" s="56">
        <f ca="1">$I149*('Heavy Bus Supporting Data'!O$28/'Heavy Bus Supporting Data'!$I$28)*('Household Vehicle Occupancy'!$I101/'Household Vehicle Occupancy'!O101)</f>
        <v>2.8517062517315428</v>
      </c>
      <c r="P149" s="56">
        <f ca="1">$I149*('Heavy Bus Supporting Data'!P$28/'Heavy Bus Supporting Data'!$I$28)*('Household Vehicle Occupancy'!$I101/'Household Vehicle Occupancy'!P101)</f>
        <v>3.3052753240192843</v>
      </c>
      <c r="Q149" s="57">
        <f ca="1">$I149*('Heavy Bus Supporting Data'!Q$28/'Heavy Bus Supporting Data'!$I$28)*('Household Vehicle Occupancy'!$I101/'Household Vehicle Occupancy'!Q101)</f>
        <v>3.8309836541054239</v>
      </c>
    </row>
    <row r="150" spans="3:17" ht="16" thickBot="1" x14ac:dyDescent="0.4">
      <c r="C150" s="25" t="s">
        <v>13</v>
      </c>
      <c r="D150" s="91"/>
      <c r="E150" s="92"/>
      <c r="G150" s="92"/>
      <c r="I150" s="92">
        <v>1</v>
      </c>
      <c r="J150" s="92">
        <f ca="1">$I150*('Heavy Bus Supporting Data'!J$28/'Heavy Bus Supporting Data'!$I$28)*('Household Vehicle Occupancy'!$I102/'Household Vehicle Occupancy'!J102)</f>
        <v>1.2887584420390215</v>
      </c>
      <c r="K150" s="92">
        <f ca="1">$I150*('Heavy Bus Supporting Data'!K$28/'Heavy Bus Supporting Data'!$I$28)*('Household Vehicle Occupancy'!$I102/'Household Vehicle Occupancy'!K102)</f>
        <v>1.5416134644088866</v>
      </c>
      <c r="L150" s="92">
        <f ca="1">$I150*('Heavy Bus Supporting Data'!L$28/'Heavy Bus Supporting Data'!$I$28)*('Household Vehicle Occupancy'!$I102/'Household Vehicle Occupancy'!L102)</f>
        <v>1.8007335633934909</v>
      </c>
      <c r="M150" s="92">
        <f ca="1">$I150*('Heavy Bus Supporting Data'!M$28/'Heavy Bus Supporting Data'!$I$28)*('Household Vehicle Occupancy'!$I102/'Household Vehicle Occupancy'!M102)</f>
        <v>2.0999855092633872</v>
      </c>
      <c r="N150" s="92">
        <f ca="1">$I150*('Heavy Bus Supporting Data'!N$28/'Heavy Bus Supporting Data'!$I$28)*('Household Vehicle Occupancy'!$I102/'Household Vehicle Occupancy'!N102)</f>
        <v>2.4489634190331233</v>
      </c>
      <c r="O150" s="59">
        <f ca="1">$I150*('Heavy Bus Supporting Data'!O$28/'Heavy Bus Supporting Data'!$I$28)*('Household Vehicle Occupancy'!$I102/'Household Vehicle Occupancy'!O102)</f>
        <v>2.838545245317373</v>
      </c>
      <c r="P150" s="59">
        <f ca="1">$I150*('Heavy Bus Supporting Data'!P$28/'Heavy Bus Supporting Data'!$I$28)*('Household Vehicle Occupancy'!$I102/'Household Vehicle Occupancy'!P102)</f>
        <v>3.2901001957945053</v>
      </c>
      <c r="Q150" s="60">
        <f ca="1">$I150*('Heavy Bus Supporting Data'!Q$28/'Heavy Bus Supporting Data'!$I$28)*('Household Vehicle Occupancy'!$I102/'Household Vehicle Occupancy'!Q102)</f>
        <v>3.8134868523651368</v>
      </c>
    </row>
    <row r="151" spans="3:17" ht="16" thickTop="1" x14ac:dyDescent="0.35">
      <c r="C151" s="130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87"/>
      <c r="P151" s="87"/>
      <c r="Q151" s="87"/>
    </row>
    <row r="152" spans="3:17" ht="15.5" x14ac:dyDescent="0.35">
      <c r="C152" s="128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</row>
    <row r="153" spans="3:17" ht="15.5" x14ac:dyDescent="0.35">
      <c r="C153" s="128"/>
      <c r="D153" s="167"/>
    </row>
    <row r="154" spans="3:17" ht="16" thickBot="1" x14ac:dyDescent="0.4">
      <c r="C154" s="170"/>
      <c r="D154" s="171"/>
    </row>
    <row r="155" spans="3:17" ht="16" thickTop="1" x14ac:dyDescent="0.35">
      <c r="C155" s="32" t="s">
        <v>148</v>
      </c>
      <c r="D155" s="33"/>
      <c r="E155" s="33"/>
      <c r="F155" s="33"/>
      <c r="G155" s="33"/>
      <c r="H155" s="33"/>
      <c r="I155" s="33"/>
      <c r="J155" s="34"/>
      <c r="K155" s="34"/>
      <c r="L155" s="34"/>
      <c r="M155" s="34"/>
      <c r="N155" s="34"/>
      <c r="O155" s="34"/>
      <c r="P155" s="34"/>
      <c r="Q155" s="35"/>
    </row>
    <row r="156" spans="3:17" ht="13.5" thickBot="1" x14ac:dyDescent="0.35">
      <c r="C156" s="36"/>
      <c r="D156" s="37" t="s">
        <v>25</v>
      </c>
      <c r="E156" s="37" t="s">
        <v>37</v>
      </c>
      <c r="F156" s="37" t="s">
        <v>38</v>
      </c>
      <c r="G156" s="37" t="s">
        <v>177</v>
      </c>
      <c r="H156" s="37" t="s">
        <v>178</v>
      </c>
      <c r="I156" s="37" t="s">
        <v>26</v>
      </c>
      <c r="J156" s="37" t="s">
        <v>27</v>
      </c>
      <c r="K156" s="37" t="s">
        <v>28</v>
      </c>
      <c r="L156" s="37" t="s">
        <v>29</v>
      </c>
      <c r="M156" s="37" t="s">
        <v>30</v>
      </c>
      <c r="N156" s="37" t="s">
        <v>31</v>
      </c>
      <c r="O156" s="37" t="s">
        <v>174</v>
      </c>
      <c r="P156" s="37" t="s">
        <v>175</v>
      </c>
      <c r="Q156" s="38" t="s">
        <v>176</v>
      </c>
    </row>
    <row r="157" spans="3:17" ht="14" thickTop="1" thickBot="1" x14ac:dyDescent="0.35">
      <c r="C157" s="18"/>
      <c r="D157" s="65" t="s">
        <v>39</v>
      </c>
      <c r="E157" s="65" t="s">
        <v>39</v>
      </c>
      <c r="F157" s="65" t="s">
        <v>39</v>
      </c>
      <c r="G157" s="65" t="s">
        <v>39</v>
      </c>
      <c r="H157" s="65" t="s">
        <v>39</v>
      </c>
      <c r="I157" s="65" t="s">
        <v>39</v>
      </c>
      <c r="J157" s="65" t="s">
        <v>32</v>
      </c>
      <c r="K157" s="65" t="s">
        <v>32</v>
      </c>
      <c r="L157" s="65" t="s">
        <v>32</v>
      </c>
      <c r="M157" s="65" t="s">
        <v>32</v>
      </c>
      <c r="N157" s="71" t="s">
        <v>32</v>
      </c>
      <c r="O157" s="65" t="s">
        <v>32</v>
      </c>
      <c r="P157" s="65" t="s">
        <v>32</v>
      </c>
      <c r="Q157" s="66" t="s">
        <v>32</v>
      </c>
    </row>
    <row r="158" spans="3:17" ht="16" thickTop="1" x14ac:dyDescent="0.35">
      <c r="C158" s="27" t="s">
        <v>0</v>
      </c>
      <c r="D158" s="86">
        <v>0</v>
      </c>
      <c r="E158" s="87">
        <v>0</v>
      </c>
      <c r="F158" s="87">
        <v>0</v>
      </c>
      <c r="G158" s="87">
        <v>0</v>
      </c>
      <c r="H158" s="87">
        <v>0</v>
      </c>
      <c r="I158" s="87">
        <v>0</v>
      </c>
      <c r="J158" s="87">
        <f>'Vehicle Share Diversion Support'!J66*'Vehicle Share Diversion Support'!J106</f>
        <v>0</v>
      </c>
      <c r="K158" s="87">
        <f>'Vehicle Share Diversion Support'!K66*'Vehicle Share Diversion Support'!K106</f>
        <v>0</v>
      </c>
      <c r="L158" s="87">
        <f>'Vehicle Share Diversion Support'!L66*'Vehicle Share Diversion Support'!L106</f>
        <v>0</v>
      </c>
      <c r="M158" s="87">
        <f>'Vehicle Share Diversion Support'!M66*'Vehicle Share Diversion Support'!M106</f>
        <v>0</v>
      </c>
      <c r="N158" s="90">
        <f>'Vehicle Share Diversion Support'!N66*'Vehicle Share Diversion Support'!N106</f>
        <v>0</v>
      </c>
      <c r="O158" s="87">
        <f>'Vehicle Share Diversion Support'!O66*'Vehicle Share Diversion Support'!O106</f>
        <v>0</v>
      </c>
      <c r="P158" s="87">
        <f>'Vehicle Share Diversion Support'!P66*'Vehicle Share Diversion Support'!P106</f>
        <v>0</v>
      </c>
      <c r="Q158" s="88">
        <f>'Vehicle Share Diversion Support'!Q66*'Vehicle Share Diversion Support'!Q106</f>
        <v>0</v>
      </c>
    </row>
    <row r="159" spans="3:17" ht="15.5" x14ac:dyDescent="0.35">
      <c r="C159" s="24" t="s">
        <v>1</v>
      </c>
      <c r="D159" s="89">
        <v>0</v>
      </c>
      <c r="E159" s="90">
        <v>0</v>
      </c>
      <c r="F159" s="90">
        <v>0</v>
      </c>
      <c r="G159" s="90">
        <v>0</v>
      </c>
      <c r="H159" s="90">
        <v>0</v>
      </c>
      <c r="I159" s="90">
        <v>0</v>
      </c>
      <c r="J159" s="90">
        <f>'Vehicle Share Diversion Support'!J67*'Vehicle Share Diversion Support'!J107</f>
        <v>0</v>
      </c>
      <c r="K159" s="90">
        <f>'Vehicle Share Diversion Support'!K67*'Vehicle Share Diversion Support'!K107</f>
        <v>0</v>
      </c>
      <c r="L159" s="90">
        <f>'Vehicle Share Diversion Support'!L67*'Vehicle Share Diversion Support'!L107</f>
        <v>0</v>
      </c>
      <c r="M159" s="90">
        <f>'Vehicle Share Diversion Support'!M67*'Vehicle Share Diversion Support'!M107</f>
        <v>0</v>
      </c>
      <c r="N159" s="90">
        <f>'Vehicle Share Diversion Support'!N67*'Vehicle Share Diversion Support'!N107</f>
        <v>0</v>
      </c>
      <c r="O159" s="56">
        <f>'Vehicle Share Diversion Support'!O67*'Vehicle Share Diversion Support'!O107</f>
        <v>0</v>
      </c>
      <c r="P159" s="56">
        <f>'Vehicle Share Diversion Support'!P67*'Vehicle Share Diversion Support'!P107</f>
        <v>0</v>
      </c>
      <c r="Q159" s="57">
        <f>'Vehicle Share Diversion Support'!Q67*'Vehicle Share Diversion Support'!Q107</f>
        <v>0</v>
      </c>
    </row>
    <row r="160" spans="3:17" ht="15.5" x14ac:dyDescent="0.35">
      <c r="C160" s="24" t="s">
        <v>2</v>
      </c>
      <c r="D160" s="89">
        <v>0</v>
      </c>
      <c r="E160" s="90">
        <v>0</v>
      </c>
      <c r="F160" s="90">
        <v>0</v>
      </c>
      <c r="G160" s="90">
        <v>0</v>
      </c>
      <c r="H160" s="90">
        <v>0</v>
      </c>
      <c r="I160" s="90">
        <v>0</v>
      </c>
      <c r="J160" s="90">
        <f>'Vehicle Share Diversion Support'!J68*'Vehicle Share Diversion Support'!J108</f>
        <v>0</v>
      </c>
      <c r="K160" s="90">
        <f>'Vehicle Share Diversion Support'!K68*'Vehicle Share Diversion Support'!K108</f>
        <v>0</v>
      </c>
      <c r="L160" s="90">
        <f>'Vehicle Share Diversion Support'!L68*'Vehicle Share Diversion Support'!L108</f>
        <v>0</v>
      </c>
      <c r="M160" s="90">
        <f>'Vehicle Share Diversion Support'!M68*'Vehicle Share Diversion Support'!M108</f>
        <v>0</v>
      </c>
      <c r="N160" s="90">
        <f>'Vehicle Share Diversion Support'!N68*'Vehicle Share Diversion Support'!N108</f>
        <v>0</v>
      </c>
      <c r="O160" s="56">
        <f>'Vehicle Share Diversion Support'!O68*'Vehicle Share Diversion Support'!O108</f>
        <v>0</v>
      </c>
      <c r="P160" s="56">
        <f>'Vehicle Share Diversion Support'!P68*'Vehicle Share Diversion Support'!P108</f>
        <v>0</v>
      </c>
      <c r="Q160" s="57">
        <f>'Vehicle Share Diversion Support'!Q68*'Vehicle Share Diversion Support'!Q108</f>
        <v>0</v>
      </c>
    </row>
    <row r="161" spans="3:17" ht="15.5" x14ac:dyDescent="0.35">
      <c r="C161" s="24" t="s">
        <v>3</v>
      </c>
      <c r="D161" s="89">
        <v>0</v>
      </c>
      <c r="E161" s="90">
        <v>0</v>
      </c>
      <c r="F161" s="90">
        <v>0</v>
      </c>
      <c r="G161" s="90">
        <v>0</v>
      </c>
      <c r="H161" s="90">
        <v>0</v>
      </c>
      <c r="I161" s="90">
        <v>0</v>
      </c>
      <c r="J161" s="90">
        <f>'Vehicle Share Diversion Support'!J69*'Vehicle Share Diversion Support'!J109</f>
        <v>0</v>
      </c>
      <c r="K161" s="90">
        <f>'Vehicle Share Diversion Support'!K69*'Vehicle Share Diversion Support'!K109</f>
        <v>0</v>
      </c>
      <c r="L161" s="90">
        <f>'Vehicle Share Diversion Support'!L69*'Vehicle Share Diversion Support'!L109</f>
        <v>0</v>
      </c>
      <c r="M161" s="90">
        <f>'Vehicle Share Diversion Support'!M69*'Vehicle Share Diversion Support'!M109</f>
        <v>0</v>
      </c>
      <c r="N161" s="90">
        <f>'Vehicle Share Diversion Support'!N69*'Vehicle Share Diversion Support'!N109</f>
        <v>0</v>
      </c>
      <c r="O161" s="56">
        <f>'Vehicle Share Diversion Support'!O69*'Vehicle Share Diversion Support'!O109</f>
        <v>0</v>
      </c>
      <c r="P161" s="56">
        <f>'Vehicle Share Diversion Support'!P69*'Vehicle Share Diversion Support'!P109</f>
        <v>0</v>
      </c>
      <c r="Q161" s="57">
        <f>'Vehicle Share Diversion Support'!Q69*'Vehicle Share Diversion Support'!Q109</f>
        <v>0</v>
      </c>
    </row>
    <row r="162" spans="3:17" ht="15.5" x14ac:dyDescent="0.35">
      <c r="C162" s="24" t="s">
        <v>4</v>
      </c>
      <c r="D162" s="89">
        <v>0</v>
      </c>
      <c r="E162" s="90">
        <v>0</v>
      </c>
      <c r="F162" s="90">
        <v>0</v>
      </c>
      <c r="G162" s="90">
        <v>0</v>
      </c>
      <c r="H162" s="90">
        <v>0</v>
      </c>
      <c r="I162" s="90">
        <v>0</v>
      </c>
      <c r="J162" s="90">
        <f>'Vehicle Share Diversion Support'!J70*'Vehicle Share Diversion Support'!J110</f>
        <v>0</v>
      </c>
      <c r="K162" s="90">
        <f>'Vehicle Share Diversion Support'!K70*'Vehicle Share Diversion Support'!K110</f>
        <v>0</v>
      </c>
      <c r="L162" s="90">
        <f>'Vehicle Share Diversion Support'!L70*'Vehicle Share Diversion Support'!L110</f>
        <v>0</v>
      </c>
      <c r="M162" s="90">
        <f>'Vehicle Share Diversion Support'!M70*'Vehicle Share Diversion Support'!M110</f>
        <v>0</v>
      </c>
      <c r="N162" s="90">
        <f>'Vehicle Share Diversion Support'!N70*'Vehicle Share Diversion Support'!N110</f>
        <v>0</v>
      </c>
      <c r="O162" s="56">
        <f>'Vehicle Share Diversion Support'!O70*'Vehicle Share Diversion Support'!O110</f>
        <v>0</v>
      </c>
      <c r="P162" s="56">
        <f>'Vehicle Share Diversion Support'!P70*'Vehicle Share Diversion Support'!P110</f>
        <v>0</v>
      </c>
      <c r="Q162" s="57">
        <f>'Vehicle Share Diversion Support'!Q70*'Vehicle Share Diversion Support'!Q110</f>
        <v>0</v>
      </c>
    </row>
    <row r="163" spans="3:17" ht="15.5" x14ac:dyDescent="0.35">
      <c r="C163" s="24" t="s">
        <v>5</v>
      </c>
      <c r="D163" s="89">
        <v>0</v>
      </c>
      <c r="E163" s="90">
        <v>0</v>
      </c>
      <c r="F163" s="90">
        <v>0</v>
      </c>
      <c r="G163" s="90">
        <v>0</v>
      </c>
      <c r="H163" s="90">
        <v>0</v>
      </c>
      <c r="I163" s="90">
        <v>0</v>
      </c>
      <c r="J163" s="90">
        <f>'Vehicle Share Diversion Support'!J71*'Vehicle Share Diversion Support'!J111</f>
        <v>0</v>
      </c>
      <c r="K163" s="90">
        <f>'Vehicle Share Diversion Support'!K71*'Vehicle Share Diversion Support'!K111</f>
        <v>0</v>
      </c>
      <c r="L163" s="90">
        <f>'Vehicle Share Diversion Support'!L71*'Vehicle Share Diversion Support'!L111</f>
        <v>0</v>
      </c>
      <c r="M163" s="90">
        <f>'Vehicle Share Diversion Support'!M71*'Vehicle Share Diversion Support'!M111</f>
        <v>0</v>
      </c>
      <c r="N163" s="90">
        <f>'Vehicle Share Diversion Support'!N71*'Vehicle Share Diversion Support'!N111</f>
        <v>0</v>
      </c>
      <c r="O163" s="56">
        <f>'Vehicle Share Diversion Support'!O71*'Vehicle Share Diversion Support'!O111</f>
        <v>0</v>
      </c>
      <c r="P163" s="56">
        <f>'Vehicle Share Diversion Support'!P71*'Vehicle Share Diversion Support'!P111</f>
        <v>0</v>
      </c>
      <c r="Q163" s="57">
        <f>'Vehicle Share Diversion Support'!Q71*'Vehicle Share Diversion Support'!Q111</f>
        <v>0</v>
      </c>
    </row>
    <row r="164" spans="3:17" ht="15.5" x14ac:dyDescent="0.35">
      <c r="C164" s="24" t="s">
        <v>6</v>
      </c>
      <c r="D164" s="89">
        <v>0</v>
      </c>
      <c r="E164" s="90">
        <v>0</v>
      </c>
      <c r="F164" s="90">
        <v>0</v>
      </c>
      <c r="G164" s="90">
        <v>0</v>
      </c>
      <c r="H164" s="90">
        <v>0</v>
      </c>
      <c r="I164" s="90">
        <v>0</v>
      </c>
      <c r="J164" s="90">
        <f>'Vehicle Share Diversion Support'!J72*'Vehicle Share Diversion Support'!J112</f>
        <v>0</v>
      </c>
      <c r="K164" s="90">
        <f>'Vehicle Share Diversion Support'!K72*'Vehicle Share Diversion Support'!K112</f>
        <v>0</v>
      </c>
      <c r="L164" s="90">
        <f>'Vehicle Share Diversion Support'!L72*'Vehicle Share Diversion Support'!L112</f>
        <v>0</v>
      </c>
      <c r="M164" s="90">
        <f>'Vehicle Share Diversion Support'!M72*'Vehicle Share Diversion Support'!M112</f>
        <v>0</v>
      </c>
      <c r="N164" s="90">
        <f>'Vehicle Share Diversion Support'!N72*'Vehicle Share Diversion Support'!N112</f>
        <v>0</v>
      </c>
      <c r="O164" s="56">
        <f>'Vehicle Share Diversion Support'!O72*'Vehicle Share Diversion Support'!O112</f>
        <v>0</v>
      </c>
      <c r="P164" s="56">
        <f>'Vehicle Share Diversion Support'!P72*'Vehicle Share Diversion Support'!P112</f>
        <v>0</v>
      </c>
      <c r="Q164" s="57">
        <f>'Vehicle Share Diversion Support'!Q72*'Vehicle Share Diversion Support'!Q112</f>
        <v>0</v>
      </c>
    </row>
    <row r="165" spans="3:17" ht="15.5" x14ac:dyDescent="0.35">
      <c r="C165" s="24" t="s">
        <v>7</v>
      </c>
      <c r="D165" s="89">
        <v>0</v>
      </c>
      <c r="E165" s="90">
        <v>0</v>
      </c>
      <c r="F165" s="90">
        <v>0</v>
      </c>
      <c r="G165" s="90">
        <v>0</v>
      </c>
      <c r="H165" s="90">
        <v>0</v>
      </c>
      <c r="I165" s="90">
        <v>0</v>
      </c>
      <c r="J165" s="90">
        <f>'Vehicle Share Diversion Support'!J73*'Vehicle Share Diversion Support'!J113</f>
        <v>0</v>
      </c>
      <c r="K165" s="90">
        <f>'Vehicle Share Diversion Support'!K73*'Vehicle Share Diversion Support'!K113</f>
        <v>0</v>
      </c>
      <c r="L165" s="90">
        <f>'Vehicle Share Diversion Support'!L73*'Vehicle Share Diversion Support'!L113</f>
        <v>0</v>
      </c>
      <c r="M165" s="90">
        <f>'Vehicle Share Diversion Support'!M73*'Vehicle Share Diversion Support'!M113</f>
        <v>0</v>
      </c>
      <c r="N165" s="90">
        <f>'Vehicle Share Diversion Support'!N73*'Vehicle Share Diversion Support'!N113</f>
        <v>0</v>
      </c>
      <c r="O165" s="56">
        <f>'Vehicle Share Diversion Support'!O73*'Vehicle Share Diversion Support'!O113</f>
        <v>0</v>
      </c>
      <c r="P165" s="56">
        <f>'Vehicle Share Diversion Support'!P73*'Vehicle Share Diversion Support'!P113</f>
        <v>0</v>
      </c>
      <c r="Q165" s="57">
        <f>'Vehicle Share Diversion Support'!Q73*'Vehicle Share Diversion Support'!Q113</f>
        <v>0</v>
      </c>
    </row>
    <row r="166" spans="3:17" ht="15.5" x14ac:dyDescent="0.35">
      <c r="C166" s="24" t="s">
        <v>8</v>
      </c>
      <c r="D166" s="89">
        <v>0</v>
      </c>
      <c r="E166" s="90">
        <v>0</v>
      </c>
      <c r="F166" s="90">
        <v>0</v>
      </c>
      <c r="G166" s="90">
        <v>0</v>
      </c>
      <c r="H166" s="90">
        <v>0</v>
      </c>
      <c r="I166" s="90">
        <v>0</v>
      </c>
      <c r="J166" s="90">
        <f>'Vehicle Share Diversion Support'!J74*'Vehicle Share Diversion Support'!J114</f>
        <v>0</v>
      </c>
      <c r="K166" s="90">
        <f>'Vehicle Share Diversion Support'!K74*'Vehicle Share Diversion Support'!K114</f>
        <v>0</v>
      </c>
      <c r="L166" s="90">
        <f>'Vehicle Share Diversion Support'!L74*'Vehicle Share Diversion Support'!L114</f>
        <v>0</v>
      </c>
      <c r="M166" s="90">
        <f>'Vehicle Share Diversion Support'!M74*'Vehicle Share Diversion Support'!M114</f>
        <v>0</v>
      </c>
      <c r="N166" s="90">
        <f>'Vehicle Share Diversion Support'!N74*'Vehicle Share Diversion Support'!N114</f>
        <v>0</v>
      </c>
      <c r="O166" s="56">
        <f>'Vehicle Share Diversion Support'!O74*'Vehicle Share Diversion Support'!O114</f>
        <v>0</v>
      </c>
      <c r="P166" s="56">
        <f>'Vehicle Share Diversion Support'!P74*'Vehicle Share Diversion Support'!P114</f>
        <v>0</v>
      </c>
      <c r="Q166" s="57">
        <f>'Vehicle Share Diversion Support'!Q74*'Vehicle Share Diversion Support'!Q114</f>
        <v>0</v>
      </c>
    </row>
    <row r="167" spans="3:17" ht="15.5" x14ac:dyDescent="0.35">
      <c r="C167" s="24" t="s">
        <v>9</v>
      </c>
      <c r="D167" s="89">
        <v>0</v>
      </c>
      <c r="E167" s="90">
        <v>0</v>
      </c>
      <c r="F167" s="90">
        <v>0</v>
      </c>
      <c r="G167" s="90">
        <v>0</v>
      </c>
      <c r="H167" s="90">
        <v>0</v>
      </c>
      <c r="I167" s="90">
        <v>0</v>
      </c>
      <c r="J167" s="90">
        <f>'Vehicle Share Diversion Support'!J75*'Vehicle Share Diversion Support'!J115</f>
        <v>0</v>
      </c>
      <c r="K167" s="90">
        <f>'Vehicle Share Diversion Support'!K75*'Vehicle Share Diversion Support'!K115</f>
        <v>0</v>
      </c>
      <c r="L167" s="90">
        <f>'Vehicle Share Diversion Support'!L75*'Vehicle Share Diversion Support'!L115</f>
        <v>0</v>
      </c>
      <c r="M167" s="90">
        <f>'Vehicle Share Diversion Support'!M75*'Vehicle Share Diversion Support'!M115</f>
        <v>0</v>
      </c>
      <c r="N167" s="90">
        <f>'Vehicle Share Diversion Support'!N75*'Vehicle Share Diversion Support'!N115</f>
        <v>0</v>
      </c>
      <c r="O167" s="56">
        <f>'Vehicle Share Diversion Support'!O75*'Vehicle Share Diversion Support'!O115</f>
        <v>0</v>
      </c>
      <c r="P167" s="56">
        <f>'Vehicle Share Diversion Support'!P75*'Vehicle Share Diversion Support'!P115</f>
        <v>0</v>
      </c>
      <c r="Q167" s="57">
        <f>'Vehicle Share Diversion Support'!Q75*'Vehicle Share Diversion Support'!Q115</f>
        <v>0</v>
      </c>
    </row>
    <row r="168" spans="3:17" ht="15.5" x14ac:dyDescent="0.35">
      <c r="C168" s="24" t="s">
        <v>10</v>
      </c>
      <c r="D168" s="89">
        <v>0</v>
      </c>
      <c r="E168" s="90">
        <v>0</v>
      </c>
      <c r="F168" s="90">
        <v>0</v>
      </c>
      <c r="G168" s="90">
        <v>0</v>
      </c>
      <c r="H168" s="90">
        <v>0</v>
      </c>
      <c r="I168" s="90">
        <v>0</v>
      </c>
      <c r="J168" s="90">
        <f>'Vehicle Share Diversion Support'!J76*'Vehicle Share Diversion Support'!J116</f>
        <v>0</v>
      </c>
      <c r="K168" s="90">
        <f>'Vehicle Share Diversion Support'!K76*'Vehicle Share Diversion Support'!K116</f>
        <v>0</v>
      </c>
      <c r="L168" s="90">
        <f>'Vehicle Share Diversion Support'!L76*'Vehicle Share Diversion Support'!L116</f>
        <v>0</v>
      </c>
      <c r="M168" s="90">
        <f>'Vehicle Share Diversion Support'!M76*'Vehicle Share Diversion Support'!M116</f>
        <v>0</v>
      </c>
      <c r="N168" s="90">
        <f>'Vehicle Share Diversion Support'!N76*'Vehicle Share Diversion Support'!N116</f>
        <v>0</v>
      </c>
      <c r="O168" s="56">
        <f>'Vehicle Share Diversion Support'!O76*'Vehicle Share Diversion Support'!O116</f>
        <v>0</v>
      </c>
      <c r="P168" s="56">
        <f>'Vehicle Share Diversion Support'!P76*'Vehicle Share Diversion Support'!P116</f>
        <v>0</v>
      </c>
      <c r="Q168" s="57">
        <f>'Vehicle Share Diversion Support'!Q76*'Vehicle Share Diversion Support'!Q116</f>
        <v>0</v>
      </c>
    </row>
    <row r="169" spans="3:17" ht="15.5" x14ac:dyDescent="0.35">
      <c r="C169" s="24" t="s">
        <v>11</v>
      </c>
      <c r="D169" s="89">
        <v>0</v>
      </c>
      <c r="E169" s="90">
        <v>0</v>
      </c>
      <c r="F169" s="90">
        <v>0</v>
      </c>
      <c r="G169" s="90">
        <v>0</v>
      </c>
      <c r="H169" s="90">
        <v>0</v>
      </c>
      <c r="I169" s="90">
        <v>0</v>
      </c>
      <c r="J169" s="90">
        <f>'Vehicle Share Diversion Support'!J77*'Vehicle Share Diversion Support'!J117</f>
        <v>0</v>
      </c>
      <c r="K169" s="90">
        <f>'Vehicle Share Diversion Support'!K77*'Vehicle Share Diversion Support'!K117</f>
        <v>0</v>
      </c>
      <c r="L169" s="90">
        <f>'Vehicle Share Diversion Support'!L77*'Vehicle Share Diversion Support'!L117</f>
        <v>0</v>
      </c>
      <c r="M169" s="90">
        <f>'Vehicle Share Diversion Support'!M77*'Vehicle Share Diversion Support'!M117</f>
        <v>0</v>
      </c>
      <c r="N169" s="90">
        <f>'Vehicle Share Diversion Support'!N77*'Vehicle Share Diversion Support'!N117</f>
        <v>0</v>
      </c>
      <c r="O169" s="56">
        <f>'Vehicle Share Diversion Support'!O77*'Vehicle Share Diversion Support'!O117</f>
        <v>0</v>
      </c>
      <c r="P169" s="56">
        <f>'Vehicle Share Diversion Support'!P77*'Vehicle Share Diversion Support'!P117</f>
        <v>0</v>
      </c>
      <c r="Q169" s="57">
        <f>'Vehicle Share Diversion Support'!Q77*'Vehicle Share Diversion Support'!Q117</f>
        <v>0</v>
      </c>
    </row>
    <row r="170" spans="3:17" ht="15.5" x14ac:dyDescent="0.35">
      <c r="C170" s="24" t="s">
        <v>12</v>
      </c>
      <c r="D170" s="89">
        <v>0</v>
      </c>
      <c r="E170" s="90">
        <v>0</v>
      </c>
      <c r="F170" s="90">
        <v>0</v>
      </c>
      <c r="G170" s="90">
        <v>0</v>
      </c>
      <c r="H170" s="90">
        <v>0</v>
      </c>
      <c r="I170" s="90">
        <v>0</v>
      </c>
      <c r="J170" s="90">
        <f>'Vehicle Share Diversion Support'!J78*'Vehicle Share Diversion Support'!J118</f>
        <v>0</v>
      </c>
      <c r="K170" s="90">
        <f>'Vehicle Share Diversion Support'!K78*'Vehicle Share Diversion Support'!K118</f>
        <v>0</v>
      </c>
      <c r="L170" s="90">
        <f>'Vehicle Share Diversion Support'!L78*'Vehicle Share Diversion Support'!L118</f>
        <v>0</v>
      </c>
      <c r="M170" s="90">
        <f>'Vehicle Share Diversion Support'!M78*'Vehicle Share Diversion Support'!M118</f>
        <v>0</v>
      </c>
      <c r="N170" s="90">
        <f>'Vehicle Share Diversion Support'!N78*'Vehicle Share Diversion Support'!N118</f>
        <v>0</v>
      </c>
      <c r="O170" s="56">
        <f>'Vehicle Share Diversion Support'!O78*'Vehicle Share Diversion Support'!O118</f>
        <v>0</v>
      </c>
      <c r="P170" s="56">
        <f>'Vehicle Share Diversion Support'!P78*'Vehicle Share Diversion Support'!P118</f>
        <v>0</v>
      </c>
      <c r="Q170" s="57">
        <f>'Vehicle Share Diversion Support'!Q78*'Vehicle Share Diversion Support'!Q118</f>
        <v>0</v>
      </c>
    </row>
    <row r="171" spans="3:17" ht="16" thickBot="1" x14ac:dyDescent="0.4">
      <c r="C171" s="25" t="s">
        <v>13</v>
      </c>
      <c r="D171" s="91">
        <v>0</v>
      </c>
      <c r="E171" s="92">
        <v>0</v>
      </c>
      <c r="F171" s="92">
        <v>0</v>
      </c>
      <c r="G171" s="92">
        <v>0</v>
      </c>
      <c r="H171" s="92">
        <v>0</v>
      </c>
      <c r="I171" s="92">
        <v>0</v>
      </c>
      <c r="J171" s="92">
        <f>'Vehicle Share Diversion Support'!J79*'Vehicle Share Diversion Support'!J119</f>
        <v>0</v>
      </c>
      <c r="K171" s="92">
        <f>'Vehicle Share Diversion Support'!K79*'Vehicle Share Diversion Support'!K119</f>
        <v>0</v>
      </c>
      <c r="L171" s="92">
        <f>'Vehicle Share Diversion Support'!L79*'Vehicle Share Diversion Support'!L119</f>
        <v>0</v>
      </c>
      <c r="M171" s="92">
        <f>'Vehicle Share Diversion Support'!M79*'Vehicle Share Diversion Support'!M119</f>
        <v>0</v>
      </c>
      <c r="N171" s="92">
        <f>'Vehicle Share Diversion Support'!N79*'Vehicle Share Diversion Support'!N119</f>
        <v>0</v>
      </c>
      <c r="O171" s="59">
        <f>'Vehicle Share Diversion Support'!O79*'Vehicle Share Diversion Support'!O119</f>
        <v>0</v>
      </c>
      <c r="P171" s="59">
        <f>'Vehicle Share Diversion Support'!P79*'Vehicle Share Diversion Support'!P119</f>
        <v>0</v>
      </c>
      <c r="Q171" s="60">
        <f>'Vehicle Share Diversion Support'!Q79*'Vehicle Share Diversion Support'!Q119</f>
        <v>0</v>
      </c>
    </row>
    <row r="172" spans="3:17" ht="16.5" thickTop="1" thickBot="1" x14ac:dyDescent="0.4">
      <c r="C172" s="31" t="s">
        <v>24</v>
      </c>
      <c r="D172" s="93">
        <f>SUM(D158:D171)</f>
        <v>0</v>
      </c>
      <c r="E172" s="94">
        <f t="shared" ref="E172:N172" si="55">SUM(E158:E171)</f>
        <v>0</v>
      </c>
      <c r="F172" s="94">
        <f t="shared" si="55"/>
        <v>0</v>
      </c>
      <c r="G172" s="94">
        <f t="shared" si="55"/>
        <v>0</v>
      </c>
      <c r="H172" s="94">
        <f t="shared" si="55"/>
        <v>0</v>
      </c>
      <c r="I172" s="94">
        <f t="shared" si="55"/>
        <v>0</v>
      </c>
      <c r="J172" s="94">
        <f t="shared" si="55"/>
        <v>0</v>
      </c>
      <c r="K172" s="94">
        <f t="shared" si="55"/>
        <v>0</v>
      </c>
      <c r="L172" s="94">
        <f t="shared" si="55"/>
        <v>0</v>
      </c>
      <c r="M172" s="94">
        <f t="shared" si="55"/>
        <v>0</v>
      </c>
      <c r="N172" s="94">
        <f t="shared" si="55"/>
        <v>0</v>
      </c>
      <c r="O172" s="94">
        <f t="shared" ref="O172:Q172" si="56">SUM(O158:O171)</f>
        <v>0</v>
      </c>
      <c r="P172" s="94">
        <f t="shared" si="56"/>
        <v>0</v>
      </c>
      <c r="Q172" s="95">
        <f t="shared" si="56"/>
        <v>0</v>
      </c>
    </row>
    <row r="173" spans="3:17" ht="16" thickTop="1" x14ac:dyDescent="0.35">
      <c r="C173" s="154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</row>
    <row r="174" spans="3:17" ht="15.5" x14ac:dyDescent="0.35">
      <c r="C174" s="128"/>
      <c r="D174" s="167"/>
    </row>
    <row r="175" spans="3:17" ht="16" thickBot="1" x14ac:dyDescent="0.4">
      <c r="C175" s="170"/>
      <c r="D175" s="171"/>
    </row>
    <row r="176" spans="3:17" ht="16" thickTop="1" x14ac:dyDescent="0.35">
      <c r="C176" s="32" t="s">
        <v>152</v>
      </c>
      <c r="D176" s="33"/>
      <c r="E176" s="33"/>
      <c r="F176" s="33"/>
      <c r="G176" s="33"/>
      <c r="H176" s="33"/>
      <c r="I176" s="33"/>
      <c r="J176" s="34"/>
      <c r="K176" s="34"/>
      <c r="L176" s="34"/>
      <c r="M176" s="34"/>
      <c r="N176" s="34"/>
      <c r="O176" s="34"/>
      <c r="P176" s="34"/>
      <c r="Q176" s="35"/>
    </row>
    <row r="177" spans="3:17" ht="13.5" thickBot="1" x14ac:dyDescent="0.35">
      <c r="C177" s="36"/>
      <c r="D177" s="37" t="s">
        <v>25</v>
      </c>
      <c r="E177" s="37" t="s">
        <v>37</v>
      </c>
      <c r="F177" s="37" t="s">
        <v>38</v>
      </c>
      <c r="G177" s="37" t="s">
        <v>177</v>
      </c>
      <c r="H177" s="37" t="s">
        <v>178</v>
      </c>
      <c r="I177" s="37" t="s">
        <v>26</v>
      </c>
      <c r="J177" s="37" t="s">
        <v>27</v>
      </c>
      <c r="K177" s="37" t="s">
        <v>28</v>
      </c>
      <c r="L177" s="37" t="s">
        <v>29</v>
      </c>
      <c r="M177" s="37" t="s">
        <v>30</v>
      </c>
      <c r="N177" s="37" t="s">
        <v>31</v>
      </c>
      <c r="O177" s="37" t="s">
        <v>174</v>
      </c>
      <c r="P177" s="37" t="s">
        <v>175</v>
      </c>
      <c r="Q177" s="38" t="s">
        <v>176</v>
      </c>
    </row>
    <row r="178" spans="3:17" ht="14" thickTop="1" thickBot="1" x14ac:dyDescent="0.35">
      <c r="C178" s="18"/>
      <c r="D178" s="65" t="s">
        <v>39</v>
      </c>
      <c r="E178" s="65" t="s">
        <v>39</v>
      </c>
      <c r="F178" s="65" t="s">
        <v>39</v>
      </c>
      <c r="G178" s="65" t="s">
        <v>39</v>
      </c>
      <c r="H178" s="65" t="s">
        <v>39</v>
      </c>
      <c r="I178" s="65" t="s">
        <v>39</v>
      </c>
      <c r="J178" s="65" t="s">
        <v>32</v>
      </c>
      <c r="K178" s="65" t="s">
        <v>32</v>
      </c>
      <c r="L178" s="65" t="s">
        <v>32</v>
      </c>
      <c r="M178" s="65" t="s">
        <v>32</v>
      </c>
      <c r="N178" s="65" t="s">
        <v>32</v>
      </c>
      <c r="O178" s="65" t="s">
        <v>32</v>
      </c>
      <c r="P178" s="65" t="s">
        <v>32</v>
      </c>
      <c r="Q178" s="66" t="s">
        <v>32</v>
      </c>
    </row>
    <row r="179" spans="3:17" ht="16" thickTop="1" x14ac:dyDescent="0.35">
      <c r="C179" s="27" t="s">
        <v>0</v>
      </c>
      <c r="D179" s="86">
        <v>0</v>
      </c>
      <c r="E179" s="87">
        <v>0</v>
      </c>
      <c r="F179" s="87">
        <v>0</v>
      </c>
      <c r="G179" s="87">
        <v>0</v>
      </c>
      <c r="H179" s="87">
        <v>0</v>
      </c>
      <c r="I179" s="87">
        <v>0</v>
      </c>
      <c r="J179" s="87">
        <f>'Vehicle Share Diversion Support'!J86*'Vehicle Share Diversion Support'!J106</f>
        <v>0</v>
      </c>
      <c r="K179" s="87">
        <f>'Vehicle Share Diversion Support'!K86*'Vehicle Share Diversion Support'!K106</f>
        <v>0</v>
      </c>
      <c r="L179" s="87">
        <f>'Vehicle Share Diversion Support'!L86*'Vehicle Share Diversion Support'!L106</f>
        <v>0</v>
      </c>
      <c r="M179" s="87">
        <f>'Vehicle Share Diversion Support'!M86*'Vehicle Share Diversion Support'!M106</f>
        <v>0</v>
      </c>
      <c r="N179" s="87">
        <f>'Vehicle Share Diversion Support'!N86*'Vehicle Share Diversion Support'!N106</f>
        <v>0</v>
      </c>
      <c r="O179" s="87">
        <f>'Vehicle Share Diversion Support'!O86*'Vehicle Share Diversion Support'!O106</f>
        <v>0</v>
      </c>
      <c r="P179" s="87">
        <f>'Vehicle Share Diversion Support'!P86*'Vehicle Share Diversion Support'!P106</f>
        <v>0</v>
      </c>
      <c r="Q179" s="88">
        <f>'Vehicle Share Diversion Support'!Q86*'Vehicle Share Diversion Support'!Q106</f>
        <v>0</v>
      </c>
    </row>
    <row r="180" spans="3:17" ht="15.5" x14ac:dyDescent="0.35">
      <c r="C180" s="24" t="s">
        <v>1</v>
      </c>
      <c r="D180" s="89">
        <v>0</v>
      </c>
      <c r="E180" s="90">
        <v>0</v>
      </c>
      <c r="F180" s="90">
        <v>0</v>
      </c>
      <c r="G180" s="90">
        <v>0</v>
      </c>
      <c r="H180" s="90">
        <v>0</v>
      </c>
      <c r="I180" s="90">
        <v>0</v>
      </c>
      <c r="J180" s="90">
        <f>'Vehicle Share Diversion Support'!J87*'Vehicle Share Diversion Support'!J107</f>
        <v>0</v>
      </c>
      <c r="K180" s="90">
        <f>'Vehicle Share Diversion Support'!K87*'Vehicle Share Diversion Support'!K107</f>
        <v>0</v>
      </c>
      <c r="L180" s="90">
        <f>'Vehicle Share Diversion Support'!L87*'Vehicle Share Diversion Support'!L107</f>
        <v>0</v>
      </c>
      <c r="M180" s="90">
        <f>'Vehicle Share Diversion Support'!M87*'Vehicle Share Diversion Support'!M107</f>
        <v>0</v>
      </c>
      <c r="N180" s="90">
        <f>'Vehicle Share Diversion Support'!N87*'Vehicle Share Diversion Support'!N107</f>
        <v>0</v>
      </c>
      <c r="O180" s="56">
        <f>'Vehicle Share Diversion Support'!O87*'Vehicle Share Diversion Support'!O107</f>
        <v>0</v>
      </c>
      <c r="P180" s="56">
        <f>'Vehicle Share Diversion Support'!P87*'Vehicle Share Diversion Support'!P107</f>
        <v>0</v>
      </c>
      <c r="Q180" s="57">
        <f>'Vehicle Share Diversion Support'!Q87*'Vehicle Share Diversion Support'!Q107</f>
        <v>0</v>
      </c>
    </row>
    <row r="181" spans="3:17" ht="15.5" x14ac:dyDescent="0.35">
      <c r="C181" s="24" t="s">
        <v>2</v>
      </c>
      <c r="D181" s="89">
        <v>0</v>
      </c>
      <c r="E181" s="90">
        <v>0</v>
      </c>
      <c r="F181" s="90">
        <v>0</v>
      </c>
      <c r="G181" s="90">
        <v>0</v>
      </c>
      <c r="H181" s="90">
        <v>0</v>
      </c>
      <c r="I181" s="90">
        <v>0</v>
      </c>
      <c r="J181" s="90">
        <f>'Vehicle Share Diversion Support'!J88*'Vehicle Share Diversion Support'!J108</f>
        <v>0</v>
      </c>
      <c r="K181" s="90">
        <f>'Vehicle Share Diversion Support'!K88*'Vehicle Share Diversion Support'!K108</f>
        <v>0</v>
      </c>
      <c r="L181" s="90">
        <f>'Vehicle Share Diversion Support'!L88*'Vehicle Share Diversion Support'!L108</f>
        <v>0</v>
      </c>
      <c r="M181" s="90">
        <f>'Vehicle Share Diversion Support'!M88*'Vehicle Share Diversion Support'!M108</f>
        <v>0</v>
      </c>
      <c r="N181" s="90">
        <f>'Vehicle Share Diversion Support'!N88*'Vehicle Share Diversion Support'!N108</f>
        <v>0</v>
      </c>
      <c r="O181" s="56">
        <f>'Vehicle Share Diversion Support'!O88*'Vehicle Share Diversion Support'!O108</f>
        <v>0</v>
      </c>
      <c r="P181" s="56">
        <f>'Vehicle Share Diversion Support'!P88*'Vehicle Share Diversion Support'!P108</f>
        <v>0</v>
      </c>
      <c r="Q181" s="57">
        <f>'Vehicle Share Diversion Support'!Q88*'Vehicle Share Diversion Support'!Q108</f>
        <v>0</v>
      </c>
    </row>
    <row r="182" spans="3:17" ht="15.5" x14ac:dyDescent="0.35">
      <c r="C182" s="24" t="s">
        <v>3</v>
      </c>
      <c r="D182" s="89">
        <v>0</v>
      </c>
      <c r="E182" s="90">
        <v>0</v>
      </c>
      <c r="F182" s="90">
        <v>0</v>
      </c>
      <c r="G182" s="90">
        <v>0</v>
      </c>
      <c r="H182" s="90">
        <v>0</v>
      </c>
      <c r="I182" s="90">
        <v>0</v>
      </c>
      <c r="J182" s="90">
        <f>'Vehicle Share Diversion Support'!J89*'Vehicle Share Diversion Support'!J109</f>
        <v>0</v>
      </c>
      <c r="K182" s="90">
        <f>'Vehicle Share Diversion Support'!K89*'Vehicle Share Diversion Support'!K109</f>
        <v>0</v>
      </c>
      <c r="L182" s="90">
        <f>'Vehicle Share Diversion Support'!L89*'Vehicle Share Diversion Support'!L109</f>
        <v>0</v>
      </c>
      <c r="M182" s="90">
        <f>'Vehicle Share Diversion Support'!M89*'Vehicle Share Diversion Support'!M109</f>
        <v>0</v>
      </c>
      <c r="N182" s="90">
        <f>'Vehicle Share Diversion Support'!N89*'Vehicle Share Diversion Support'!N109</f>
        <v>0</v>
      </c>
      <c r="O182" s="56">
        <f>'Vehicle Share Diversion Support'!O89*'Vehicle Share Diversion Support'!O109</f>
        <v>0</v>
      </c>
      <c r="P182" s="56">
        <f>'Vehicle Share Diversion Support'!P89*'Vehicle Share Diversion Support'!P109</f>
        <v>0</v>
      </c>
      <c r="Q182" s="57">
        <f>'Vehicle Share Diversion Support'!Q89*'Vehicle Share Diversion Support'!Q109</f>
        <v>0</v>
      </c>
    </row>
    <row r="183" spans="3:17" ht="15.5" x14ac:dyDescent="0.35">
      <c r="C183" s="24" t="s">
        <v>4</v>
      </c>
      <c r="D183" s="89">
        <v>0</v>
      </c>
      <c r="E183" s="90">
        <v>0</v>
      </c>
      <c r="F183" s="90">
        <v>0</v>
      </c>
      <c r="G183" s="90">
        <v>0</v>
      </c>
      <c r="H183" s="90">
        <v>0</v>
      </c>
      <c r="I183" s="90">
        <v>0</v>
      </c>
      <c r="J183" s="90">
        <f>'Vehicle Share Diversion Support'!J90*'Vehicle Share Diversion Support'!J110</f>
        <v>0</v>
      </c>
      <c r="K183" s="90">
        <f>'Vehicle Share Diversion Support'!K90*'Vehicle Share Diversion Support'!K110</f>
        <v>0</v>
      </c>
      <c r="L183" s="90">
        <f>'Vehicle Share Diversion Support'!L90*'Vehicle Share Diversion Support'!L110</f>
        <v>0</v>
      </c>
      <c r="M183" s="90">
        <f>'Vehicle Share Diversion Support'!M90*'Vehicle Share Diversion Support'!M110</f>
        <v>0</v>
      </c>
      <c r="N183" s="90">
        <f>'Vehicle Share Diversion Support'!N90*'Vehicle Share Diversion Support'!N110</f>
        <v>0</v>
      </c>
      <c r="O183" s="56">
        <f>'Vehicle Share Diversion Support'!O90*'Vehicle Share Diversion Support'!O110</f>
        <v>0</v>
      </c>
      <c r="P183" s="56">
        <f>'Vehicle Share Diversion Support'!P90*'Vehicle Share Diversion Support'!P110</f>
        <v>0</v>
      </c>
      <c r="Q183" s="57">
        <f>'Vehicle Share Diversion Support'!Q90*'Vehicle Share Diversion Support'!Q110</f>
        <v>0</v>
      </c>
    </row>
    <row r="184" spans="3:17" ht="15.5" x14ac:dyDescent="0.35">
      <c r="C184" s="24" t="s">
        <v>5</v>
      </c>
      <c r="D184" s="89">
        <v>0</v>
      </c>
      <c r="E184" s="90">
        <v>0</v>
      </c>
      <c r="F184" s="90">
        <v>0</v>
      </c>
      <c r="G184" s="90">
        <v>0</v>
      </c>
      <c r="H184" s="90">
        <v>0</v>
      </c>
      <c r="I184" s="90">
        <v>0</v>
      </c>
      <c r="J184" s="90">
        <f>'Vehicle Share Diversion Support'!J91*'Vehicle Share Diversion Support'!J111</f>
        <v>0</v>
      </c>
      <c r="K184" s="90">
        <f>'Vehicle Share Diversion Support'!K91*'Vehicle Share Diversion Support'!K111</f>
        <v>0</v>
      </c>
      <c r="L184" s="90">
        <f>'Vehicle Share Diversion Support'!L91*'Vehicle Share Diversion Support'!L111</f>
        <v>0</v>
      </c>
      <c r="M184" s="90">
        <f>'Vehicle Share Diversion Support'!M91*'Vehicle Share Diversion Support'!M111</f>
        <v>0</v>
      </c>
      <c r="N184" s="90">
        <f>'Vehicle Share Diversion Support'!N91*'Vehicle Share Diversion Support'!N111</f>
        <v>0</v>
      </c>
      <c r="O184" s="56">
        <f>'Vehicle Share Diversion Support'!O91*'Vehicle Share Diversion Support'!O111</f>
        <v>0</v>
      </c>
      <c r="P184" s="56">
        <f>'Vehicle Share Diversion Support'!P91*'Vehicle Share Diversion Support'!P111</f>
        <v>0</v>
      </c>
      <c r="Q184" s="57">
        <f>'Vehicle Share Diversion Support'!Q91*'Vehicle Share Diversion Support'!Q111</f>
        <v>0</v>
      </c>
    </row>
    <row r="185" spans="3:17" ht="15.5" x14ac:dyDescent="0.35">
      <c r="C185" s="24" t="s">
        <v>6</v>
      </c>
      <c r="D185" s="89">
        <v>0</v>
      </c>
      <c r="E185" s="90">
        <v>0</v>
      </c>
      <c r="F185" s="90">
        <v>0</v>
      </c>
      <c r="G185" s="90">
        <v>0</v>
      </c>
      <c r="H185" s="90">
        <v>0</v>
      </c>
      <c r="I185" s="90">
        <v>0</v>
      </c>
      <c r="J185" s="90">
        <f>'Vehicle Share Diversion Support'!J92*'Vehicle Share Diversion Support'!J112</f>
        <v>0</v>
      </c>
      <c r="K185" s="90">
        <f>'Vehicle Share Diversion Support'!K92*'Vehicle Share Diversion Support'!K112</f>
        <v>0</v>
      </c>
      <c r="L185" s="90">
        <f>'Vehicle Share Diversion Support'!L92*'Vehicle Share Diversion Support'!L112</f>
        <v>0</v>
      </c>
      <c r="M185" s="90">
        <f>'Vehicle Share Diversion Support'!M92*'Vehicle Share Diversion Support'!M112</f>
        <v>0</v>
      </c>
      <c r="N185" s="90">
        <f>'Vehicle Share Diversion Support'!N92*'Vehicle Share Diversion Support'!N112</f>
        <v>0</v>
      </c>
      <c r="O185" s="56">
        <f>'Vehicle Share Diversion Support'!O92*'Vehicle Share Diversion Support'!O112</f>
        <v>0</v>
      </c>
      <c r="P185" s="56">
        <f>'Vehicle Share Diversion Support'!P92*'Vehicle Share Diversion Support'!P112</f>
        <v>0</v>
      </c>
      <c r="Q185" s="57">
        <f>'Vehicle Share Diversion Support'!Q92*'Vehicle Share Diversion Support'!Q112</f>
        <v>0</v>
      </c>
    </row>
    <row r="186" spans="3:17" ht="15.5" x14ac:dyDescent="0.35">
      <c r="C186" s="24" t="s">
        <v>7</v>
      </c>
      <c r="D186" s="89">
        <v>0</v>
      </c>
      <c r="E186" s="90">
        <v>0</v>
      </c>
      <c r="F186" s="90">
        <v>0</v>
      </c>
      <c r="G186" s="90">
        <v>0</v>
      </c>
      <c r="H186" s="90">
        <v>0</v>
      </c>
      <c r="I186" s="90">
        <v>0</v>
      </c>
      <c r="J186" s="90">
        <f>'Vehicle Share Diversion Support'!J93*'Vehicle Share Diversion Support'!J113</f>
        <v>0</v>
      </c>
      <c r="K186" s="90">
        <f>'Vehicle Share Diversion Support'!K93*'Vehicle Share Diversion Support'!K113</f>
        <v>0</v>
      </c>
      <c r="L186" s="90">
        <f>'Vehicle Share Diversion Support'!L93*'Vehicle Share Diversion Support'!L113</f>
        <v>0</v>
      </c>
      <c r="M186" s="90">
        <f>'Vehicle Share Diversion Support'!M93*'Vehicle Share Diversion Support'!M113</f>
        <v>0</v>
      </c>
      <c r="N186" s="90">
        <f>'Vehicle Share Diversion Support'!N93*'Vehicle Share Diversion Support'!N113</f>
        <v>0</v>
      </c>
      <c r="O186" s="56">
        <f>'Vehicle Share Diversion Support'!O93*'Vehicle Share Diversion Support'!O113</f>
        <v>0</v>
      </c>
      <c r="P186" s="56">
        <f>'Vehicle Share Diversion Support'!P93*'Vehicle Share Diversion Support'!P113</f>
        <v>0</v>
      </c>
      <c r="Q186" s="57">
        <f>'Vehicle Share Diversion Support'!Q93*'Vehicle Share Diversion Support'!Q113</f>
        <v>0</v>
      </c>
    </row>
    <row r="187" spans="3:17" ht="15.5" x14ac:dyDescent="0.35">
      <c r="C187" s="24" t="s">
        <v>8</v>
      </c>
      <c r="D187" s="89">
        <v>0</v>
      </c>
      <c r="E187" s="90">
        <v>0</v>
      </c>
      <c r="F187" s="90">
        <v>0</v>
      </c>
      <c r="G187" s="90">
        <v>0</v>
      </c>
      <c r="H187" s="90">
        <v>0</v>
      </c>
      <c r="I187" s="90">
        <v>0</v>
      </c>
      <c r="J187" s="90">
        <f>'Vehicle Share Diversion Support'!J94*'Vehicle Share Diversion Support'!J114</f>
        <v>0</v>
      </c>
      <c r="K187" s="90">
        <f>'Vehicle Share Diversion Support'!K94*'Vehicle Share Diversion Support'!K114</f>
        <v>0</v>
      </c>
      <c r="L187" s="90">
        <f>'Vehicle Share Diversion Support'!L94*'Vehicle Share Diversion Support'!L114</f>
        <v>0</v>
      </c>
      <c r="M187" s="90">
        <f>'Vehicle Share Diversion Support'!M94*'Vehicle Share Diversion Support'!M114</f>
        <v>0</v>
      </c>
      <c r="N187" s="90">
        <f>'Vehicle Share Diversion Support'!N94*'Vehicle Share Diversion Support'!N114</f>
        <v>0</v>
      </c>
      <c r="O187" s="56">
        <f>'Vehicle Share Diversion Support'!O94*'Vehicle Share Diversion Support'!O114</f>
        <v>0</v>
      </c>
      <c r="P187" s="56">
        <f>'Vehicle Share Diversion Support'!P94*'Vehicle Share Diversion Support'!P114</f>
        <v>0</v>
      </c>
      <c r="Q187" s="57">
        <f>'Vehicle Share Diversion Support'!Q94*'Vehicle Share Diversion Support'!Q114</f>
        <v>0</v>
      </c>
    </row>
    <row r="188" spans="3:17" ht="15.5" x14ac:dyDescent="0.35">
      <c r="C188" s="24" t="s">
        <v>9</v>
      </c>
      <c r="D188" s="89">
        <v>0</v>
      </c>
      <c r="E188" s="90">
        <v>0</v>
      </c>
      <c r="F188" s="90">
        <v>0</v>
      </c>
      <c r="G188" s="90">
        <v>0</v>
      </c>
      <c r="H188" s="90">
        <v>0</v>
      </c>
      <c r="I188" s="90">
        <v>0</v>
      </c>
      <c r="J188" s="90">
        <f>'Vehicle Share Diversion Support'!J95*'Vehicle Share Diversion Support'!J115</f>
        <v>0</v>
      </c>
      <c r="K188" s="90">
        <f>'Vehicle Share Diversion Support'!K95*'Vehicle Share Diversion Support'!K115</f>
        <v>0</v>
      </c>
      <c r="L188" s="90">
        <f>'Vehicle Share Diversion Support'!L95*'Vehicle Share Diversion Support'!L115</f>
        <v>0</v>
      </c>
      <c r="M188" s="90">
        <f>'Vehicle Share Diversion Support'!M95*'Vehicle Share Diversion Support'!M115</f>
        <v>0</v>
      </c>
      <c r="N188" s="90">
        <f>'Vehicle Share Diversion Support'!N95*'Vehicle Share Diversion Support'!N115</f>
        <v>0</v>
      </c>
      <c r="O188" s="56">
        <f>'Vehicle Share Diversion Support'!O95*'Vehicle Share Diversion Support'!O115</f>
        <v>0</v>
      </c>
      <c r="P188" s="56">
        <f>'Vehicle Share Diversion Support'!P95*'Vehicle Share Diversion Support'!P115</f>
        <v>0</v>
      </c>
      <c r="Q188" s="57">
        <f>'Vehicle Share Diversion Support'!Q95*'Vehicle Share Diversion Support'!Q115</f>
        <v>0</v>
      </c>
    </row>
    <row r="189" spans="3:17" ht="15.5" x14ac:dyDescent="0.35">
      <c r="C189" s="24" t="s">
        <v>10</v>
      </c>
      <c r="D189" s="89">
        <v>0</v>
      </c>
      <c r="E189" s="90">
        <v>0</v>
      </c>
      <c r="F189" s="90">
        <v>0</v>
      </c>
      <c r="G189" s="90">
        <v>0</v>
      </c>
      <c r="H189" s="90">
        <v>0</v>
      </c>
      <c r="I189" s="90">
        <v>0</v>
      </c>
      <c r="J189" s="90">
        <f>'Vehicle Share Diversion Support'!J96*'Vehicle Share Diversion Support'!J116</f>
        <v>0</v>
      </c>
      <c r="K189" s="90">
        <f>'Vehicle Share Diversion Support'!K96*'Vehicle Share Diversion Support'!K116</f>
        <v>0</v>
      </c>
      <c r="L189" s="90">
        <f>'Vehicle Share Diversion Support'!L96*'Vehicle Share Diversion Support'!L116</f>
        <v>0</v>
      </c>
      <c r="M189" s="90">
        <f>'Vehicle Share Diversion Support'!M96*'Vehicle Share Diversion Support'!M116</f>
        <v>0</v>
      </c>
      <c r="N189" s="90">
        <f>'Vehicle Share Diversion Support'!N96*'Vehicle Share Diversion Support'!N116</f>
        <v>0</v>
      </c>
      <c r="O189" s="56">
        <f>'Vehicle Share Diversion Support'!O96*'Vehicle Share Diversion Support'!O116</f>
        <v>0</v>
      </c>
      <c r="P189" s="56">
        <f>'Vehicle Share Diversion Support'!P96*'Vehicle Share Diversion Support'!P116</f>
        <v>0</v>
      </c>
      <c r="Q189" s="57">
        <f>'Vehicle Share Diversion Support'!Q96*'Vehicle Share Diversion Support'!Q116</f>
        <v>0</v>
      </c>
    </row>
    <row r="190" spans="3:17" ht="15.5" x14ac:dyDescent="0.35">
      <c r="C190" s="24" t="s">
        <v>11</v>
      </c>
      <c r="D190" s="89">
        <v>0</v>
      </c>
      <c r="E190" s="90">
        <v>0</v>
      </c>
      <c r="F190" s="90">
        <v>0</v>
      </c>
      <c r="G190" s="90">
        <v>0</v>
      </c>
      <c r="H190" s="90">
        <v>0</v>
      </c>
      <c r="I190" s="90">
        <v>0</v>
      </c>
      <c r="J190" s="90">
        <f>'Vehicle Share Diversion Support'!J97*'Vehicle Share Diversion Support'!J117</f>
        <v>0</v>
      </c>
      <c r="K190" s="90">
        <f>'Vehicle Share Diversion Support'!K97*'Vehicle Share Diversion Support'!K117</f>
        <v>0</v>
      </c>
      <c r="L190" s="90">
        <f>'Vehicle Share Diversion Support'!L97*'Vehicle Share Diversion Support'!L117</f>
        <v>0</v>
      </c>
      <c r="M190" s="90">
        <f>'Vehicle Share Diversion Support'!M97*'Vehicle Share Diversion Support'!M117</f>
        <v>0</v>
      </c>
      <c r="N190" s="90">
        <f>'Vehicle Share Diversion Support'!N97*'Vehicle Share Diversion Support'!N117</f>
        <v>0</v>
      </c>
      <c r="O190" s="56">
        <f>'Vehicle Share Diversion Support'!O97*'Vehicle Share Diversion Support'!O117</f>
        <v>0</v>
      </c>
      <c r="P190" s="56">
        <f>'Vehicle Share Diversion Support'!P97*'Vehicle Share Diversion Support'!P117</f>
        <v>0</v>
      </c>
      <c r="Q190" s="57">
        <f>'Vehicle Share Diversion Support'!Q97*'Vehicle Share Diversion Support'!Q117</f>
        <v>0</v>
      </c>
    </row>
    <row r="191" spans="3:17" ht="15.5" x14ac:dyDescent="0.35">
      <c r="C191" s="24" t="s">
        <v>12</v>
      </c>
      <c r="D191" s="89">
        <v>0</v>
      </c>
      <c r="E191" s="90">
        <v>0</v>
      </c>
      <c r="F191" s="90">
        <v>0</v>
      </c>
      <c r="G191" s="90">
        <v>0</v>
      </c>
      <c r="H191" s="90">
        <v>0</v>
      </c>
      <c r="I191" s="90">
        <v>0</v>
      </c>
      <c r="J191" s="90">
        <f>'Vehicle Share Diversion Support'!J98*'Vehicle Share Diversion Support'!J118</f>
        <v>0</v>
      </c>
      <c r="K191" s="90">
        <f>'Vehicle Share Diversion Support'!K98*'Vehicle Share Diversion Support'!K118</f>
        <v>0</v>
      </c>
      <c r="L191" s="90">
        <f>'Vehicle Share Diversion Support'!L98*'Vehicle Share Diversion Support'!L118</f>
        <v>0</v>
      </c>
      <c r="M191" s="90">
        <f>'Vehicle Share Diversion Support'!M98*'Vehicle Share Diversion Support'!M118</f>
        <v>0</v>
      </c>
      <c r="N191" s="90">
        <f>'Vehicle Share Diversion Support'!N98*'Vehicle Share Diversion Support'!N118</f>
        <v>0</v>
      </c>
      <c r="O191" s="56">
        <f>'Vehicle Share Diversion Support'!O98*'Vehicle Share Diversion Support'!O118</f>
        <v>0</v>
      </c>
      <c r="P191" s="56">
        <f>'Vehicle Share Diversion Support'!P98*'Vehicle Share Diversion Support'!P118</f>
        <v>0</v>
      </c>
      <c r="Q191" s="57">
        <f>'Vehicle Share Diversion Support'!Q98*'Vehicle Share Diversion Support'!Q118</f>
        <v>0</v>
      </c>
    </row>
    <row r="192" spans="3:17" ht="16" thickBot="1" x14ac:dyDescent="0.4">
      <c r="C192" s="25" t="s">
        <v>13</v>
      </c>
      <c r="D192" s="91">
        <v>0</v>
      </c>
      <c r="E192" s="92">
        <v>0</v>
      </c>
      <c r="F192" s="92">
        <v>0</v>
      </c>
      <c r="G192" s="92">
        <v>0</v>
      </c>
      <c r="H192" s="92">
        <v>0</v>
      </c>
      <c r="I192" s="92">
        <v>0</v>
      </c>
      <c r="J192" s="92">
        <f>'Vehicle Share Diversion Support'!J99*'Vehicle Share Diversion Support'!J119</f>
        <v>0</v>
      </c>
      <c r="K192" s="92">
        <f>'Vehicle Share Diversion Support'!K99*'Vehicle Share Diversion Support'!K119</f>
        <v>0</v>
      </c>
      <c r="L192" s="92">
        <f>'Vehicle Share Diversion Support'!L99*'Vehicle Share Diversion Support'!L119</f>
        <v>0</v>
      </c>
      <c r="M192" s="92">
        <f>'Vehicle Share Diversion Support'!M99*'Vehicle Share Diversion Support'!M119</f>
        <v>0</v>
      </c>
      <c r="N192" s="92">
        <f>'Vehicle Share Diversion Support'!N99*'Vehicle Share Diversion Support'!N119</f>
        <v>0</v>
      </c>
      <c r="O192" s="59">
        <f>'Vehicle Share Diversion Support'!O99*'Vehicle Share Diversion Support'!O119</f>
        <v>0</v>
      </c>
      <c r="P192" s="59">
        <f>'Vehicle Share Diversion Support'!P99*'Vehicle Share Diversion Support'!P119</f>
        <v>0</v>
      </c>
      <c r="Q192" s="60">
        <f>'Vehicle Share Diversion Support'!Q99*'Vehicle Share Diversion Support'!Q119</f>
        <v>0</v>
      </c>
    </row>
    <row r="193" spans="3:17" ht="16.5" thickTop="1" thickBot="1" x14ac:dyDescent="0.4">
      <c r="C193" s="31" t="s">
        <v>24</v>
      </c>
      <c r="D193" s="93">
        <f>SUM(D179:D192)</f>
        <v>0</v>
      </c>
      <c r="E193" s="94">
        <f t="shared" ref="E193:N193" si="57">SUM(E179:E192)</f>
        <v>0</v>
      </c>
      <c r="F193" s="94">
        <f t="shared" si="57"/>
        <v>0</v>
      </c>
      <c r="G193" s="94">
        <f t="shared" si="57"/>
        <v>0</v>
      </c>
      <c r="H193" s="94">
        <f t="shared" si="57"/>
        <v>0</v>
      </c>
      <c r="I193" s="94">
        <f t="shared" si="57"/>
        <v>0</v>
      </c>
      <c r="J193" s="94">
        <f t="shared" si="57"/>
        <v>0</v>
      </c>
      <c r="K193" s="94">
        <f t="shared" si="57"/>
        <v>0</v>
      </c>
      <c r="L193" s="94">
        <f t="shared" si="57"/>
        <v>0</v>
      </c>
      <c r="M193" s="94">
        <f t="shared" si="57"/>
        <v>0</v>
      </c>
      <c r="N193" s="94">
        <f t="shared" si="57"/>
        <v>0</v>
      </c>
      <c r="O193" s="94">
        <f t="shared" ref="O193:Q193" si="58">SUM(O179:O192)</f>
        <v>0</v>
      </c>
      <c r="P193" s="94">
        <f t="shared" si="58"/>
        <v>0</v>
      </c>
      <c r="Q193" s="95">
        <f t="shared" si="58"/>
        <v>0</v>
      </c>
    </row>
    <row r="194" spans="3:17" ht="16" thickTop="1" x14ac:dyDescent="0.35">
      <c r="C194" s="154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</row>
    <row r="195" spans="3:17" ht="15.5" x14ac:dyDescent="0.35">
      <c r="C195" s="128"/>
      <c r="D195" s="167"/>
    </row>
    <row r="196" spans="3:17" ht="16" thickBot="1" x14ac:dyDescent="0.4">
      <c r="C196" s="170"/>
      <c r="D196" s="171"/>
    </row>
    <row r="197" spans="3:17" ht="16" thickTop="1" x14ac:dyDescent="0.35">
      <c r="C197" s="32" t="s">
        <v>151</v>
      </c>
      <c r="D197" s="33"/>
      <c r="E197" s="33"/>
      <c r="F197" s="33"/>
      <c r="G197" s="33"/>
      <c r="H197" s="33"/>
      <c r="I197" s="33"/>
      <c r="J197" s="34"/>
      <c r="K197" s="34"/>
      <c r="L197" s="34"/>
      <c r="M197" s="34"/>
      <c r="N197" s="34"/>
      <c r="O197" s="34"/>
      <c r="P197" s="34"/>
      <c r="Q197" s="35"/>
    </row>
    <row r="198" spans="3:17" ht="13.5" thickBot="1" x14ac:dyDescent="0.35">
      <c r="C198" s="36"/>
      <c r="D198" s="37" t="s">
        <v>25</v>
      </c>
      <c r="E198" s="37" t="s">
        <v>37</v>
      </c>
      <c r="F198" s="37" t="s">
        <v>38</v>
      </c>
      <c r="G198" s="37" t="s">
        <v>177</v>
      </c>
      <c r="H198" s="37" t="s">
        <v>178</v>
      </c>
      <c r="I198" s="37" t="s">
        <v>26</v>
      </c>
      <c r="J198" s="37" t="s">
        <v>27</v>
      </c>
      <c r="K198" s="37" t="s">
        <v>28</v>
      </c>
      <c r="L198" s="37" t="s">
        <v>29</v>
      </c>
      <c r="M198" s="37" t="s">
        <v>30</v>
      </c>
      <c r="N198" s="37" t="s">
        <v>31</v>
      </c>
      <c r="O198" s="37" t="s">
        <v>174</v>
      </c>
      <c r="P198" s="37" t="s">
        <v>175</v>
      </c>
      <c r="Q198" s="38" t="s">
        <v>176</v>
      </c>
    </row>
    <row r="199" spans="3:17" ht="14" thickTop="1" thickBot="1" x14ac:dyDescent="0.35">
      <c r="C199" s="18"/>
      <c r="D199" s="65" t="s">
        <v>39</v>
      </c>
      <c r="E199" s="65" t="s">
        <v>39</v>
      </c>
      <c r="F199" s="71" t="s">
        <v>39</v>
      </c>
      <c r="G199" s="65" t="s">
        <v>39</v>
      </c>
      <c r="H199" s="65" t="s">
        <v>39</v>
      </c>
      <c r="I199" s="65" t="s">
        <v>39</v>
      </c>
      <c r="J199" s="65" t="s">
        <v>32</v>
      </c>
      <c r="K199" s="65" t="s">
        <v>32</v>
      </c>
      <c r="L199" s="65" t="s">
        <v>32</v>
      </c>
      <c r="M199" s="65" t="s">
        <v>32</v>
      </c>
      <c r="N199" s="65" t="s">
        <v>32</v>
      </c>
      <c r="O199" s="65" t="s">
        <v>32</v>
      </c>
      <c r="P199" s="65" t="s">
        <v>32</v>
      </c>
      <c r="Q199" s="66" t="s">
        <v>32</v>
      </c>
    </row>
    <row r="200" spans="3:17" ht="16" thickTop="1" x14ac:dyDescent="0.35">
      <c r="C200" s="27" t="s">
        <v>0</v>
      </c>
      <c r="D200" s="86"/>
      <c r="E200" s="87"/>
      <c r="G200" s="87"/>
      <c r="H200" s="34"/>
      <c r="I200" s="87">
        <v>1</v>
      </c>
      <c r="J200" s="87">
        <f ca="1">$I200*('[10]Regional GDP'!J7/'[10]Regional GDP'!$I7)*('Household Vehicle Occupancy'!$I89/'Household Vehicle Occupancy'!J89)</f>
        <v>1.1519658100645471</v>
      </c>
      <c r="K200" s="87">
        <f ca="1">$I200*('[10]Regional GDP'!K7/'[10]Regional GDP'!$I7)*('Household Vehicle Occupancy'!$I89/'Household Vehicle Occupancy'!K89)</f>
        <v>1.2940767048541404</v>
      </c>
      <c r="L200" s="87">
        <f ca="1">$I200*('[10]Regional GDP'!L7/'[10]Regional GDP'!$I7)*('Household Vehicle Occupancy'!$I89/'Household Vehicle Occupancy'!L89)</f>
        <v>1.4372783175529471</v>
      </c>
      <c r="M200" s="87">
        <f ca="1">$I200*('[10]Regional GDP'!M7/'[10]Regional GDP'!$I7)*('Household Vehicle Occupancy'!$I89/'Household Vehicle Occupancy'!M89)</f>
        <v>1.587962311365521</v>
      </c>
      <c r="N200" s="87">
        <f ca="1">$I200*('[10]Regional GDP'!N7/'[10]Regional GDP'!$I7)*('Household Vehicle Occupancy'!$I89/'Household Vehicle Occupancy'!N89)</f>
        <v>1.7523910013432276</v>
      </c>
      <c r="O200" s="87">
        <f ca="1">$I200*('[10]Regional GDP'!O7/'[10]Regional GDP'!$I7)*('Household Vehicle Occupancy'!$I89/'Household Vehicle Occupancy'!O89)</f>
        <v>1.9163887995049536</v>
      </c>
      <c r="P200" s="87">
        <f ca="1">$I200*('[10]Regional GDP'!P7/'[10]Regional GDP'!$I7)*('Household Vehicle Occupancy'!$I89/'Household Vehicle Occupancy'!P89)</f>
        <v>2.0791921927271391</v>
      </c>
      <c r="Q200" s="88">
        <f ca="1">$I200*('[10]Regional GDP'!Q7/'[10]Regional GDP'!$I7)*('Household Vehicle Occupancy'!$I89/'Household Vehicle Occupancy'!Q89)</f>
        <v>2.2339805187899042</v>
      </c>
    </row>
    <row r="201" spans="3:17" ht="15.5" x14ac:dyDescent="0.35">
      <c r="C201" s="24" t="s">
        <v>1</v>
      </c>
      <c r="D201" s="89"/>
      <c r="E201" s="90"/>
      <c r="G201" s="90"/>
      <c r="I201" s="90">
        <v>1</v>
      </c>
      <c r="J201" s="90">
        <f ca="1">$I201*('[10]Regional GDP'!J8/'[10]Regional GDP'!$I8)*('Household Vehicle Occupancy'!$I90/'Household Vehicle Occupancy'!J90)</f>
        <v>1.1803659330160798</v>
      </c>
      <c r="K201" s="90">
        <f ca="1">$I201*('[10]Regional GDP'!K8/'[10]Regional GDP'!$I8)*('Household Vehicle Occupancy'!$I90/'Household Vehicle Occupancy'!K90)</f>
        <v>1.3523653662405286</v>
      </c>
      <c r="L201" s="90">
        <f ca="1">$I201*('[10]Regional GDP'!L8/'[10]Regional GDP'!$I8)*('Household Vehicle Occupancy'!$I90/'Household Vehicle Occupancy'!L90)</f>
        <v>1.5306315041136085</v>
      </c>
      <c r="M201" s="90">
        <f ca="1">$I201*('[10]Regional GDP'!M8/'[10]Regional GDP'!$I8)*('Household Vehicle Occupancy'!$I90/'Household Vehicle Occupancy'!M90)</f>
        <v>1.7239084803882339</v>
      </c>
      <c r="N201" s="90">
        <f ca="1">$I201*('[10]Regional GDP'!N8/'[10]Regional GDP'!$I8)*('Household Vehicle Occupancy'!$I90/'Household Vehicle Occupancy'!N90)</f>
        <v>1.9413043501529117</v>
      </c>
      <c r="O201" s="56">
        <f ca="1">$I201*('[10]Regional GDP'!O8/'[10]Regional GDP'!$I8)*('Household Vehicle Occupancy'!$I90/'Household Vehicle Occupancy'!O90)</f>
        <v>2.1666497730813972</v>
      </c>
      <c r="P201" s="56">
        <f ca="1">$I201*('[10]Regional GDP'!P8/'[10]Regional GDP'!$I8)*('Household Vehicle Occupancy'!$I90/'Household Vehicle Occupancy'!P90)</f>
        <v>2.3989000825356044</v>
      </c>
      <c r="Q201" s="57">
        <f ca="1">$I201*('[10]Regional GDP'!Q8/'[10]Regional GDP'!$I8)*('Household Vehicle Occupancy'!$I90/'Household Vehicle Occupancy'!Q90)</f>
        <v>2.6303566522172548</v>
      </c>
    </row>
    <row r="202" spans="3:17" ht="15.5" x14ac:dyDescent="0.35">
      <c r="C202" s="24" t="s">
        <v>2</v>
      </c>
      <c r="D202" s="89"/>
      <c r="E202" s="90"/>
      <c r="G202" s="90"/>
      <c r="I202" s="90">
        <v>1</v>
      </c>
      <c r="J202" s="90">
        <f ca="1">$I202*('[10]Regional GDP'!J9/'[10]Regional GDP'!$I9)*('Household Vehicle Occupancy'!$I91/'Household Vehicle Occupancy'!J91)</f>
        <v>1.154033201011883</v>
      </c>
      <c r="K202" s="90">
        <f ca="1">$I202*('[10]Regional GDP'!K9/'[10]Regional GDP'!$I9)*('Household Vehicle Occupancy'!$I91/'Household Vehicle Occupancy'!K91)</f>
        <v>1.2977499810029671</v>
      </c>
      <c r="L202" s="90">
        <f ca="1">$I202*('[10]Regional GDP'!L9/'[10]Regional GDP'!$I9)*('Household Vehicle Occupancy'!$I91/'Household Vehicle Occupancy'!L91)</f>
        <v>1.443979298621711</v>
      </c>
      <c r="M202" s="90">
        <f ca="1">$I202*('[10]Regional GDP'!M9/'[10]Regional GDP'!$I9)*('Household Vehicle Occupancy'!$I91/'Household Vehicle Occupancy'!M91)</f>
        <v>1.5983923493257346</v>
      </c>
      <c r="N202" s="90">
        <f ca="1">$I202*('[10]Regional GDP'!N9/'[10]Regional GDP'!$I9)*('Household Vehicle Occupancy'!$I91/'Household Vehicle Occupancy'!N91)</f>
        <v>1.7685240839189138</v>
      </c>
      <c r="O202" s="56">
        <f ca="1">$I202*('[10]Regional GDP'!O9/'[10]Regional GDP'!$I9)*('Household Vehicle Occupancy'!$I91/'Household Vehicle Occupancy'!O91)</f>
        <v>1.9396620292412463</v>
      </c>
      <c r="P202" s="56">
        <f ca="1">$I202*('[10]Regional GDP'!P9/'[10]Regional GDP'!$I9)*('Household Vehicle Occupancy'!$I91/'Household Vehicle Occupancy'!P91)</f>
        <v>2.1095682950295576</v>
      </c>
      <c r="Q202" s="57">
        <f ca="1">$I202*('[10]Regional GDP'!Q9/'[10]Regional GDP'!$I9)*('Household Vehicle Occupancy'!$I91/'Household Vehicle Occupancy'!Q91)</f>
        <v>2.2710371178081248</v>
      </c>
    </row>
    <row r="203" spans="3:17" ht="15.5" x14ac:dyDescent="0.35">
      <c r="C203" s="24" t="s">
        <v>3</v>
      </c>
      <c r="D203" s="89"/>
      <c r="E203" s="90"/>
      <c r="G203" s="90"/>
      <c r="I203" s="90">
        <v>1</v>
      </c>
      <c r="J203" s="90">
        <f ca="1">$I203*('[10]Regional GDP'!J10/'[10]Regional GDP'!$I10)*('Household Vehicle Occupancy'!$I92/'Household Vehicle Occupancy'!J92)</f>
        <v>1.1451966795733122</v>
      </c>
      <c r="K203" s="90">
        <f ca="1">$I203*('[10]Regional GDP'!K10/'[10]Regional GDP'!$I10)*('Household Vehicle Occupancy'!$I92/'Household Vehicle Occupancy'!K92)</f>
        <v>1.2799483353648817</v>
      </c>
      <c r="L203" s="90">
        <f ca="1">$I203*('[10]Regional GDP'!L10/'[10]Regional GDP'!$I10)*('Household Vehicle Occupancy'!$I92/'Household Vehicle Occupancy'!L92)</f>
        <v>1.4157453229166703</v>
      </c>
      <c r="M203" s="90">
        <f ca="1">$I203*('[10]Regional GDP'!M10/'[10]Regional GDP'!$I10)*('Household Vehicle Occupancy'!$I92/'Household Vehicle Occupancy'!M92)</f>
        <v>1.5570109018180291</v>
      </c>
      <c r="N203" s="90">
        <f ca="1">$I203*('[10]Regional GDP'!N10/'[10]Regional GDP'!$I10)*('Household Vehicle Occupancy'!$I92/'Household Vehicle Occupancy'!N92)</f>
        <v>1.7118699803130071</v>
      </c>
      <c r="O203" s="56">
        <f ca="1">$I203*('[10]Regional GDP'!O10/'[10]Regional GDP'!$I10)*('Household Vehicle Occupancy'!$I92/'Household Vehicle Occupancy'!O92)</f>
        <v>1.8636101628086805</v>
      </c>
      <c r="P203" s="56">
        <f ca="1">$I203*('[10]Regional GDP'!P10/'[10]Regional GDP'!$I10)*('Household Vehicle Occupancy'!$I92/'Household Vehicle Occupancy'!P92)</f>
        <v>2.0117216832577438</v>
      </c>
      <c r="Q203" s="57">
        <f ca="1">$I203*('[10]Regional GDP'!Q10/'[10]Regional GDP'!$I10)*('Household Vehicle Occupancy'!$I92/'Household Vehicle Occupancy'!Q92)</f>
        <v>2.1494091304381477</v>
      </c>
    </row>
    <row r="204" spans="3:17" ht="15.5" x14ac:dyDescent="0.35">
      <c r="C204" s="24" t="s">
        <v>4</v>
      </c>
      <c r="D204" s="89"/>
      <c r="E204" s="90"/>
      <c r="G204" s="90"/>
      <c r="I204" s="90">
        <v>1</v>
      </c>
      <c r="J204" s="90">
        <f ca="1">$I204*('[10]Regional GDP'!J11/'[10]Regional GDP'!$I11)*('Household Vehicle Occupancy'!$I93/'Household Vehicle Occupancy'!J93)</f>
        <v>1.116912647728622</v>
      </c>
      <c r="K204" s="90">
        <f ca="1">$I204*('[10]Regional GDP'!K11/'[10]Regional GDP'!$I11)*('Household Vehicle Occupancy'!$I93/'Household Vehicle Occupancy'!K93)</f>
        <v>1.2243265969659958</v>
      </c>
      <c r="L204" s="90">
        <f ca="1">$I204*('[10]Regional GDP'!L11/'[10]Regional GDP'!$I11)*('Household Vehicle Occupancy'!$I93/'Household Vehicle Occupancy'!L93)</f>
        <v>1.3293798781908341</v>
      </c>
      <c r="M204" s="90">
        <f ca="1">$I204*('[10]Regional GDP'!M11/'[10]Regional GDP'!$I11)*('Household Vehicle Occupancy'!$I93/'Household Vehicle Occupancy'!M93)</f>
        <v>1.4341832736372779</v>
      </c>
      <c r="N204" s="90">
        <f ca="1">$I204*('[10]Regional GDP'!N11/'[10]Regional GDP'!$I11)*('Household Vehicle Occupancy'!$I93/'Household Vehicle Occupancy'!N93)</f>
        <v>1.5479498538171625</v>
      </c>
      <c r="O204" s="56">
        <f ca="1">$I204*('[10]Regional GDP'!O11/'[10]Regional GDP'!$I11)*('Household Vehicle Occupancy'!$I93/'Household Vehicle Occupancy'!O93)</f>
        <v>1.6539979872728601</v>
      </c>
      <c r="P204" s="56">
        <f ca="1">$I204*('[10]Regional GDP'!P11/'[10]Regional GDP'!$I11)*('Household Vehicle Occupancy'!$I93/'Household Vehicle Occupancy'!P93)</f>
        <v>1.7526584816312984</v>
      </c>
      <c r="Q204" s="57">
        <f ca="1">$I204*('[10]Regional GDP'!Q11/'[10]Regional GDP'!$I11)*('Household Vehicle Occupancy'!$I93/'Household Vehicle Occupancy'!Q93)</f>
        <v>1.8384674246137844</v>
      </c>
    </row>
    <row r="205" spans="3:17" ht="15.5" x14ac:dyDescent="0.35">
      <c r="C205" s="24" t="s">
        <v>5</v>
      </c>
      <c r="D205" s="89"/>
      <c r="E205" s="90"/>
      <c r="G205" s="90"/>
      <c r="I205" s="90">
        <v>1</v>
      </c>
      <c r="J205" s="90">
        <f ca="1">$I205*('[10]Regional GDP'!J12/'[10]Regional GDP'!$I12)*('Household Vehicle Occupancy'!$I94/'Household Vehicle Occupancy'!J94)</f>
        <v>1.1438858489798873</v>
      </c>
      <c r="K205" s="90">
        <f ca="1">$I205*('[10]Regional GDP'!K12/'[10]Regional GDP'!$I12)*('Household Vehicle Occupancy'!$I94/'Household Vehicle Occupancy'!K94)</f>
        <v>1.2780354134068295</v>
      </c>
      <c r="L205" s="90">
        <f ca="1">$I205*('[10]Regional GDP'!L12/'[10]Regional GDP'!$I12)*('Household Vehicle Occupancy'!$I94/'Household Vehicle Occupancy'!L94)</f>
        <v>1.4133347475107378</v>
      </c>
      <c r="M205" s="90">
        <f ca="1">$I205*('[10]Regional GDP'!M12/'[10]Regional GDP'!$I12)*('Household Vehicle Occupancy'!$I94/'Household Vehicle Occupancy'!M94)</f>
        <v>1.5557360500333977</v>
      </c>
      <c r="N205" s="90">
        <f ca="1">$I205*('[10]Regional GDP'!N12/'[10]Regional GDP'!$I12)*('Household Vehicle Occupancy'!$I94/'Household Vehicle Occupancy'!N94)</f>
        <v>1.7138712060118695</v>
      </c>
      <c r="O205" s="56">
        <f ca="1">$I205*('[10]Regional GDP'!O12/'[10]Regional GDP'!$I12)*('Household Vehicle Occupancy'!$I94/'Household Vehicle Occupancy'!O94)</f>
        <v>1.8717271919657188</v>
      </c>
      <c r="P205" s="56">
        <f ca="1">$I205*('[10]Regional GDP'!P12/'[10]Regional GDP'!$I12)*('Household Vehicle Occupancy'!$I94/'Household Vehicle Occupancy'!P94)</f>
        <v>2.0284280852760421</v>
      </c>
      <c r="Q205" s="57">
        <f ca="1">$I205*('[10]Regional GDP'!Q12/'[10]Regional GDP'!$I12)*('Household Vehicle Occupancy'!$I94/'Household Vehicle Occupancy'!Q94)</f>
        <v>2.1774238987711905</v>
      </c>
    </row>
    <row r="206" spans="3:17" ht="15.5" x14ac:dyDescent="0.35">
      <c r="C206" s="24" t="s">
        <v>6</v>
      </c>
      <c r="D206" s="89"/>
      <c r="E206" s="90"/>
      <c r="G206" s="90"/>
      <c r="I206" s="90">
        <v>1</v>
      </c>
      <c r="J206" s="90">
        <f ca="1">$I206*('[10]Regional GDP'!J13/'[10]Regional GDP'!$I13)*('Household Vehicle Occupancy'!$I95/'Household Vehicle Occupancy'!J95)</f>
        <v>1.1542416812999865</v>
      </c>
      <c r="K206" s="90">
        <f ca="1">$I206*('[10]Regional GDP'!K13/'[10]Regional GDP'!$I13)*('Household Vehicle Occupancy'!$I95/'Household Vehicle Occupancy'!K95)</f>
        <v>1.2997353542803212</v>
      </c>
      <c r="L206" s="90">
        <f ca="1">$I206*('[10]Regional GDP'!L13/'[10]Regional GDP'!$I13)*('Household Vehicle Occupancy'!$I95/'Household Vehicle Occupancy'!L95)</f>
        <v>1.4502384210847914</v>
      </c>
      <c r="M206" s="90">
        <f ca="1">$I206*('[10]Regional GDP'!M13/'[10]Regional GDP'!$I13)*('Household Vehicle Occupancy'!$I95/'Household Vehicle Occupancy'!M95)</f>
        <v>1.6110500653686533</v>
      </c>
      <c r="N206" s="90">
        <f ca="1">$I206*('[10]Regional GDP'!N13/'[10]Regional GDP'!$I13)*('Household Vehicle Occupancy'!$I95/'Household Vehicle Occupancy'!N95)</f>
        <v>1.7909565158343457</v>
      </c>
      <c r="O206" s="56">
        <f ca="1">$I206*('[10]Regional GDP'!O13/'[10]Regional GDP'!$I13)*('Household Vehicle Occupancy'!$I95/'Household Vehicle Occupancy'!O95)</f>
        <v>1.9723921418014729</v>
      </c>
      <c r="P206" s="56">
        <f ca="1">$I206*('[10]Regional GDP'!P13/'[10]Regional GDP'!$I13)*('Household Vehicle Occupancy'!$I95/'Household Vehicle Occupancy'!P95)</f>
        <v>2.1551230894058726</v>
      </c>
      <c r="Q206" s="57">
        <f ca="1">$I206*('[10]Regional GDP'!Q13/'[10]Regional GDP'!$I13)*('Household Vehicle Occupancy'!$I95/'Household Vehicle Occupancy'!Q95)</f>
        <v>2.3320291461848126</v>
      </c>
    </row>
    <row r="207" spans="3:17" ht="15.5" x14ac:dyDescent="0.35">
      <c r="C207" s="24" t="s">
        <v>7</v>
      </c>
      <c r="D207" s="89"/>
      <c r="E207" s="90"/>
      <c r="G207" s="90"/>
      <c r="I207" s="90">
        <v>1</v>
      </c>
      <c r="J207" s="90">
        <f ca="1">$I207*('[10]Regional GDP'!J14/'[10]Regional GDP'!$I14)*('Household Vehicle Occupancy'!$I96/'Household Vehicle Occupancy'!J96)</f>
        <v>1.1291460855434186</v>
      </c>
      <c r="K207" s="90">
        <f ca="1">$I207*('[10]Regional GDP'!K14/'[10]Regional GDP'!$I14)*('Household Vehicle Occupancy'!$I96/'Household Vehicle Occupancy'!K96)</f>
        <v>1.2478714992826214</v>
      </c>
      <c r="L207" s="90">
        <f ca="1">$I207*('[10]Regional GDP'!L14/'[10]Regional GDP'!$I14)*('Household Vehicle Occupancy'!$I96/'Household Vehicle Occupancy'!L96)</f>
        <v>1.3651335438607757</v>
      </c>
      <c r="M207" s="90">
        <f ca="1">$I207*('[10]Regional GDP'!M14/'[10]Regional GDP'!$I14)*('Household Vehicle Occupancy'!$I96/'Household Vehicle Occupancy'!M96)</f>
        <v>1.4867486634183358</v>
      </c>
      <c r="N207" s="90">
        <f ca="1">$I207*('[10]Regional GDP'!N14/'[10]Regional GDP'!$I14)*('Household Vehicle Occupancy'!$I96/'Household Vehicle Occupancy'!N96)</f>
        <v>1.6185709738003935</v>
      </c>
      <c r="O207" s="56">
        <f ca="1">$I207*('[10]Regional GDP'!O14/'[10]Regional GDP'!$I14)*('Household Vehicle Occupancy'!$I96/'Household Vehicle Occupancy'!O96)</f>
        <v>1.7478523099749121</v>
      </c>
      <c r="P207" s="56">
        <f ca="1">$I207*('[10]Regional GDP'!P14/'[10]Regional GDP'!$I14)*('Household Vehicle Occupancy'!$I96/'Household Vehicle Occupancy'!P96)</f>
        <v>1.872858424222815</v>
      </c>
      <c r="Q207" s="57">
        <f ca="1">$I207*('[10]Regional GDP'!Q14/'[10]Regional GDP'!$I14)*('Household Vehicle Occupancy'!$I96/'Household Vehicle Occupancy'!Q96)</f>
        <v>1.987709649257569</v>
      </c>
    </row>
    <row r="208" spans="3:17" ht="15.5" x14ac:dyDescent="0.35">
      <c r="C208" s="24" t="s">
        <v>8</v>
      </c>
      <c r="D208" s="89"/>
      <c r="E208" s="90"/>
      <c r="G208" s="90"/>
      <c r="I208" s="90">
        <v>1</v>
      </c>
      <c r="J208" s="90">
        <f ca="1">$I208*('[10]Regional GDP'!J15/'[10]Regional GDP'!$I15)*('Household Vehicle Occupancy'!$I97/'Household Vehicle Occupancy'!J97)</f>
        <v>1.1588392930188167</v>
      </c>
      <c r="K208" s="90">
        <f ca="1">$I208*('[10]Regional GDP'!K15/'[10]Regional GDP'!$I15)*('Household Vehicle Occupancy'!$I97/'Household Vehicle Occupancy'!K97)</f>
        <v>1.309586680857141</v>
      </c>
      <c r="L208" s="90">
        <f ca="1">$I208*('[10]Regional GDP'!L15/'[10]Regional GDP'!$I15)*('Household Vehicle Occupancy'!$I97/'Household Vehicle Occupancy'!L97)</f>
        <v>1.4648389817126983</v>
      </c>
      <c r="M208" s="90">
        <f ca="1">$I208*('[10]Regional GDP'!M15/'[10]Regional GDP'!$I15)*('Household Vehicle Occupancy'!$I97/'Household Vehicle Occupancy'!M97)</f>
        <v>1.63065617903648</v>
      </c>
      <c r="N208" s="90">
        <f ca="1">$I208*('[10]Regional GDP'!N15/'[10]Regional GDP'!$I15)*('Household Vehicle Occupancy'!$I97/'Household Vehicle Occupancy'!N97)</f>
        <v>1.815065956752566</v>
      </c>
      <c r="O208" s="56">
        <f ca="1">$I208*('[10]Regional GDP'!O15/'[10]Regional GDP'!$I15)*('Household Vehicle Occupancy'!$I97/'Household Vehicle Occupancy'!O97)</f>
        <v>2.001997073869326</v>
      </c>
      <c r="P208" s="56">
        <f ca="1">$I208*('[10]Regional GDP'!P15/'[10]Regional GDP'!$I15)*('Household Vehicle Occupancy'!$I97/'Household Vehicle Occupancy'!P97)</f>
        <v>2.1905076110891311</v>
      </c>
      <c r="Q208" s="57">
        <f ca="1">$I208*('[10]Regional GDP'!Q15/'[10]Regional GDP'!$I15)*('Household Vehicle Occupancy'!$I97/'Household Vehicle Occupancy'!Q97)</f>
        <v>2.3732699494616853</v>
      </c>
    </row>
    <row r="209" spans="3:17" ht="15.5" x14ac:dyDescent="0.35">
      <c r="C209" s="24" t="s">
        <v>9</v>
      </c>
      <c r="D209" s="89"/>
      <c r="E209" s="90"/>
      <c r="G209" s="90"/>
      <c r="I209" s="90">
        <v>1</v>
      </c>
      <c r="J209" s="90">
        <f ca="1">$I209*('[10]Regional GDP'!J16/'[10]Regional GDP'!$I16)*('Household Vehicle Occupancy'!$I98/'Household Vehicle Occupancy'!J98)</f>
        <v>1.1279758100692658</v>
      </c>
      <c r="K209" s="90">
        <f ca="1">$I209*('[10]Regional GDP'!K16/'[10]Regional GDP'!$I16)*('Household Vehicle Occupancy'!$I98/'Household Vehicle Occupancy'!K98)</f>
        <v>1.2468583890228082</v>
      </c>
      <c r="L209" s="90">
        <f ca="1">$I209*('[10]Regional GDP'!L16/'[10]Regional GDP'!$I16)*('Household Vehicle Occupancy'!$I98/'Household Vehicle Occupancy'!L98)</f>
        <v>1.3642322020618165</v>
      </c>
      <c r="M209" s="90">
        <f ca="1">$I209*('[10]Regional GDP'!M16/'[10]Regional GDP'!$I16)*('Household Vehicle Occupancy'!$I98/'Household Vehicle Occupancy'!M98)</f>
        <v>1.4849593642941197</v>
      </c>
      <c r="N209" s="90">
        <f ca="1">$I209*('[10]Regional GDP'!N16/'[10]Regional GDP'!$I16)*('Household Vehicle Occupancy'!$I98/'Household Vehicle Occupancy'!N98)</f>
        <v>1.6134480516261449</v>
      </c>
      <c r="O209" s="56">
        <f ca="1">$I209*('[10]Regional GDP'!O16/'[10]Regional GDP'!$I16)*('Household Vehicle Occupancy'!$I98/'Household Vehicle Occupancy'!O98)</f>
        <v>1.7377305377888701</v>
      </c>
      <c r="P209" s="56">
        <f ca="1">$I209*('[10]Regional GDP'!P16/'[10]Regional GDP'!$I16)*('Household Vehicle Occupancy'!$I98/'Household Vehicle Occupancy'!P98)</f>
        <v>1.8561568157847173</v>
      </c>
      <c r="Q209" s="57">
        <f ca="1">$I209*('[10]Regional GDP'!Q16/'[10]Regional GDP'!$I16)*('Household Vehicle Occupancy'!$I98/'Household Vehicle Occupancy'!Q98)</f>
        <v>1.9627445399123145</v>
      </c>
    </row>
    <row r="210" spans="3:17" ht="15.5" x14ac:dyDescent="0.35">
      <c r="C210" s="24" t="s">
        <v>10</v>
      </c>
      <c r="D210" s="89"/>
      <c r="E210" s="90"/>
      <c r="G210" s="90"/>
      <c r="I210" s="90">
        <v>1</v>
      </c>
      <c r="J210" s="90">
        <f ca="1">$I210*('[10]Regional GDP'!J17/'[10]Regional GDP'!$I17)*('Household Vehicle Occupancy'!$I99/'Household Vehicle Occupancy'!J99)</f>
        <v>1.0963633961381634</v>
      </c>
      <c r="K210" s="90">
        <f ca="1">$I210*('[10]Regional GDP'!K17/'[10]Regional GDP'!$I17)*('Household Vehicle Occupancy'!$I99/'Household Vehicle Occupancy'!K99)</f>
        <v>1.1798556819545145</v>
      </c>
      <c r="L210" s="90">
        <f ca="1">$I210*('[10]Regional GDP'!L17/'[10]Regional GDP'!$I17)*('Household Vehicle Occupancy'!$I99/'Household Vehicle Occupancy'!L99)</f>
        <v>1.2574322518298142</v>
      </c>
      <c r="M210" s="90">
        <f ca="1">$I210*('[10]Regional GDP'!M17/'[10]Regional GDP'!$I17)*('Household Vehicle Occupancy'!$I99/'Household Vehicle Occupancy'!M99)</f>
        <v>1.3334513370469077</v>
      </c>
      <c r="N210" s="90">
        <f ca="1">$I210*('[10]Regional GDP'!N17/'[10]Regional GDP'!$I17)*('Household Vehicle Occupancy'!$I99/'Household Vehicle Occupancy'!N99)</f>
        <v>1.4152194069569841</v>
      </c>
      <c r="O210" s="56">
        <f ca="1">$I210*('[10]Regional GDP'!O17/'[10]Regional GDP'!$I17)*('Household Vehicle Occupancy'!$I99/'Household Vehicle Occupancy'!O99)</f>
        <v>1.4872492410442379</v>
      </c>
      <c r="P210" s="56">
        <f ca="1">$I210*('[10]Regional GDP'!P17/'[10]Regional GDP'!$I17)*('Household Vehicle Occupancy'!$I99/'Household Vehicle Occupancy'!P99)</f>
        <v>1.5499866937713689</v>
      </c>
      <c r="Q210" s="57">
        <f ca="1">$I210*('[10]Regional GDP'!Q17/'[10]Regional GDP'!$I17)*('Household Vehicle Occupancy'!$I99/'Household Vehicle Occupancy'!Q99)</f>
        <v>1.599073776831679</v>
      </c>
    </row>
    <row r="211" spans="3:17" ht="15.5" x14ac:dyDescent="0.35">
      <c r="C211" s="24" t="s">
        <v>11</v>
      </c>
      <c r="D211" s="89"/>
      <c r="E211" s="90"/>
      <c r="G211" s="90"/>
      <c r="I211" s="90">
        <v>1</v>
      </c>
      <c r="J211" s="90">
        <f ca="1">$I211*('[10]Regional GDP'!J18/'[10]Regional GDP'!$I18)*('Household Vehicle Occupancy'!$I100/'Household Vehicle Occupancy'!J100)</f>
        <v>1.179416540273817</v>
      </c>
      <c r="K211" s="90">
        <f ca="1">$I211*('[10]Regional GDP'!K18/'[10]Regional GDP'!$I18)*('Household Vehicle Occupancy'!$I100/'Household Vehicle Occupancy'!K100)</f>
        <v>1.3482744354787721</v>
      </c>
      <c r="L211" s="90">
        <f ca="1">$I211*('[10]Regional GDP'!L18/'[10]Regional GDP'!$I18)*('Household Vehicle Occupancy'!$I100/'Household Vehicle Occupancy'!L100)</f>
        <v>1.5250383217572328</v>
      </c>
      <c r="M211" s="90">
        <f ca="1">$I211*('[10]Regional GDP'!M18/'[10]Regional GDP'!$I18)*('Household Vehicle Occupancy'!$I100/'Household Vehicle Occupancy'!M100)</f>
        <v>1.7167716395031776</v>
      </c>
      <c r="N211" s="90">
        <f ca="1">$I211*('[10]Regional GDP'!N18/'[10]Regional GDP'!$I18)*('Household Vehicle Occupancy'!$I100/'Household Vehicle Occupancy'!N100)</f>
        <v>1.9320070850733992</v>
      </c>
      <c r="O211" s="56">
        <f ca="1">$I211*('[10]Regional GDP'!O18/'[10]Regional GDP'!$I18)*('Household Vehicle Occupancy'!$I100/'Household Vehicle Occupancy'!O100)</f>
        <v>2.1543656981956505</v>
      </c>
      <c r="P211" s="56">
        <f ca="1">$I211*('[10]Regional GDP'!P18/'[10]Regional GDP'!$I18)*('Household Vehicle Occupancy'!$I100/'Household Vehicle Occupancy'!P100)</f>
        <v>2.3825955645427261</v>
      </c>
      <c r="Q211" s="57">
        <f ca="1">$I211*('[10]Regional GDP'!Q18/'[10]Regional GDP'!$I18)*('Household Vehicle Occupancy'!$I100/'Household Vehicle Occupancy'!Q100)</f>
        <v>2.6086314306336522</v>
      </c>
    </row>
    <row r="212" spans="3:17" ht="15.5" x14ac:dyDescent="0.35">
      <c r="C212" s="24" t="s">
        <v>12</v>
      </c>
      <c r="D212" s="89"/>
      <c r="E212" s="90"/>
      <c r="G212" s="90"/>
      <c r="I212" s="90">
        <v>1</v>
      </c>
      <c r="J212" s="90">
        <f ca="1">$I212*('[10]Regional GDP'!J19/'[10]Regional GDP'!$I19)*('Household Vehicle Occupancy'!$I101/'Household Vehicle Occupancy'!J101)</f>
        <v>1.1774744056338557</v>
      </c>
      <c r="K212" s="90">
        <f ca="1">$I212*('[10]Regional GDP'!K19/'[10]Regional GDP'!$I19)*('Household Vehicle Occupancy'!$I101/'Household Vehicle Occupancy'!K101)</f>
        <v>1.3407346769750514</v>
      </c>
      <c r="L212" s="90">
        <f ca="1">$I212*('[10]Regional GDP'!L19/'[10]Regional GDP'!$I19)*('Household Vehicle Occupancy'!$I101/'Household Vehicle Occupancy'!L101)</f>
        <v>1.5110651519460541</v>
      </c>
      <c r="M212" s="90">
        <f ca="1">$I212*('[10]Regional GDP'!M19/'[10]Regional GDP'!$I19)*('Household Vehicle Occupancy'!$I101/'Household Vehicle Occupancy'!M101)</f>
        <v>1.6937335201650772</v>
      </c>
      <c r="N212" s="90">
        <f ca="1">$I212*('[10]Regional GDP'!N19/'[10]Regional GDP'!$I19)*('Household Vehicle Occupancy'!$I101/'Household Vehicle Occupancy'!N101)</f>
        <v>1.8984661225314174</v>
      </c>
      <c r="O212" s="56">
        <f ca="1">$I212*('[10]Regional GDP'!O19/'[10]Regional GDP'!$I19)*('Household Vehicle Occupancy'!$I101/'Household Vehicle Occupancy'!O101)</f>
        <v>2.1068454257415477</v>
      </c>
      <c r="P212" s="56">
        <f ca="1">$I212*('[10]Regional GDP'!P19/'[10]Regional GDP'!$I19)*('Household Vehicle Occupancy'!$I101/'Household Vehicle Occupancy'!P101)</f>
        <v>2.3188026658552801</v>
      </c>
      <c r="Q212" s="57">
        <f ca="1">$I212*('[10]Regional GDP'!Q19/'[10]Regional GDP'!$I19)*('Household Vehicle Occupancy'!$I101/'Household Vehicle Occupancy'!Q101)</f>
        <v>2.5264492150314557</v>
      </c>
    </row>
    <row r="213" spans="3:17" ht="16" thickBot="1" x14ac:dyDescent="0.4">
      <c r="C213" s="25" t="s">
        <v>13</v>
      </c>
      <c r="D213" s="91"/>
      <c r="E213" s="92"/>
      <c r="G213" s="92"/>
      <c r="I213" s="92">
        <v>1</v>
      </c>
      <c r="J213" s="92">
        <f ca="1">$I213*('[10]Regional GDP'!J20/'[10]Regional GDP'!$I20)*('Household Vehicle Occupancy'!$I102/'Household Vehicle Occupancy'!J102)</f>
        <v>1.1053159435484261</v>
      </c>
      <c r="K213" s="92">
        <f ca="1">$I213*('[10]Regional GDP'!K20/'[10]Regional GDP'!$I20)*('Household Vehicle Occupancy'!$I102/'Household Vehicle Occupancy'!K102)</f>
        <v>1.2017939732333762</v>
      </c>
      <c r="L213" s="92">
        <f ca="1">$I213*('[10]Regional GDP'!L20/'[10]Regional GDP'!$I20)*('Household Vehicle Occupancy'!$I102/'Household Vehicle Occupancy'!L102)</f>
        <v>1.2956768119172191</v>
      </c>
      <c r="M213" s="92">
        <f ca="1">$I213*('[10]Regional GDP'!M20/'[10]Regional GDP'!$I20)*('Household Vehicle Occupancy'!$I102/'Household Vehicle Occupancy'!M102)</f>
        <v>1.3910262527859427</v>
      </c>
      <c r="N213" s="92">
        <f ca="1">$I213*('[10]Regional GDP'!N20/'[10]Regional GDP'!$I20)*('Household Vehicle Occupancy'!$I102/'Household Vehicle Occupancy'!N102)</f>
        <v>1.4939616648088172</v>
      </c>
      <c r="O213" s="59">
        <f ca="1">$I213*('[10]Regional GDP'!O20/'[10]Regional GDP'!$I20)*('Household Vehicle Occupancy'!$I102/'Household Vehicle Occupancy'!O102)</f>
        <v>1.5898902401360044</v>
      </c>
      <c r="P213" s="59">
        <f ca="1">$I213*('[10]Regional GDP'!P20/'[10]Regional GDP'!$I20)*('Household Vehicle Occupancy'!$I102/'Household Vehicle Occupancy'!P102)</f>
        <v>1.6779503179951267</v>
      </c>
      <c r="Q213" s="60">
        <f ca="1">$I213*('[10]Regional GDP'!Q20/'[10]Regional GDP'!$I20)*('Household Vehicle Occupancy'!$I102/'Household Vehicle Occupancy'!Q102)</f>
        <v>1.7530221147318295</v>
      </c>
    </row>
    <row r="214" spans="3:17" ht="16" thickTop="1" x14ac:dyDescent="0.35">
      <c r="C214" s="130"/>
      <c r="D214" s="173"/>
      <c r="E214" s="173"/>
      <c r="F214" s="173"/>
      <c r="G214" s="173"/>
      <c r="H214" s="173"/>
      <c r="I214" s="173"/>
      <c r="J214" s="173"/>
      <c r="K214" s="173"/>
      <c r="L214" s="173"/>
      <c r="M214" s="87"/>
      <c r="N214" s="87"/>
      <c r="O214" s="87"/>
    </row>
    <row r="215" spans="3:17" ht="15.5" x14ac:dyDescent="0.35">
      <c r="C215" s="128"/>
      <c r="D215" s="167"/>
      <c r="E215" s="167"/>
      <c r="F215" s="167"/>
      <c r="G215" s="167"/>
      <c r="H215" s="167"/>
      <c r="I215" s="167"/>
      <c r="J215" s="167"/>
      <c r="K215" s="167"/>
      <c r="L215" s="167"/>
    </row>
    <row r="216" spans="3:17" ht="15.5" x14ac:dyDescent="0.35">
      <c r="C216" s="128"/>
      <c r="D216" s="167"/>
    </row>
    <row r="217" spans="3:17" ht="16" thickBot="1" x14ac:dyDescent="0.4">
      <c r="C217" s="170"/>
      <c r="D217" s="171"/>
    </row>
    <row r="218" spans="3:17" ht="47.5" thickTop="1" thickBot="1" x14ac:dyDescent="0.4">
      <c r="C218" s="31" t="s">
        <v>110</v>
      </c>
      <c r="D218" s="148">
        <v>0.5</v>
      </c>
    </row>
    <row r="219" spans="3:17" ht="47.5" thickTop="1" thickBot="1" x14ac:dyDescent="0.4">
      <c r="C219" s="31" t="s">
        <v>111</v>
      </c>
      <c r="D219" s="148">
        <v>0.3</v>
      </c>
    </row>
    <row r="220" spans="3:17" ht="47.5" thickTop="1" thickBot="1" x14ac:dyDescent="0.4">
      <c r="C220" s="31" t="s">
        <v>112</v>
      </c>
      <c r="D220" s="148">
        <v>0.2</v>
      </c>
    </row>
    <row r="221" spans="3:17" ht="32" thickTop="1" thickBot="1" x14ac:dyDescent="0.4">
      <c r="C221" s="31" t="s">
        <v>65</v>
      </c>
      <c r="D221" s="74">
        <f>SUM(D218:D220)</f>
        <v>1</v>
      </c>
    </row>
    <row r="222" spans="3:17" ht="13" thickTop="1" x14ac:dyDescent="0.25"/>
  </sheetData>
  <mergeCells count="1">
    <mergeCell ref="C8:F8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C3:Q29"/>
  <sheetViews>
    <sheetView zoomScale="90" zoomScaleNormal="90" workbookViewId="0">
      <selection activeCell="I35" sqref="I35"/>
    </sheetView>
  </sheetViews>
  <sheetFormatPr defaultRowHeight="12.5" x14ac:dyDescent="0.25"/>
  <cols>
    <col min="3" max="3" width="18.269531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33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36"/>
      <c r="D6" s="37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37" t="s">
        <v>32</v>
      </c>
      <c r="J6" s="37" t="s">
        <v>32</v>
      </c>
      <c r="K6" s="37" t="s">
        <v>32</v>
      </c>
      <c r="L6" s="37" t="s">
        <v>32</v>
      </c>
      <c r="M6" s="37" t="s">
        <v>32</v>
      </c>
      <c r="N6" s="37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7" t="s">
        <v>0</v>
      </c>
      <c r="D7" s="79">
        <f>[13]Results!$D7</f>
        <v>1.0871529220581353</v>
      </c>
      <c r="E7" s="80">
        <f t="shared" ref="E7:E20" si="0">(D7*9+J7)/10</f>
        <v>1.1137253461871923</v>
      </c>
      <c r="F7" s="80">
        <f t="shared" ref="F7:F20" si="1">(D7*8+J7*2)/10</f>
        <v>1.1402977703162496</v>
      </c>
      <c r="G7" s="80">
        <f>(D7*7+J7*3)/10</f>
        <v>1.1668701944453066</v>
      </c>
      <c r="H7" s="80">
        <f>(D7*6+J7*4)/10</f>
        <v>1.1934426185743636</v>
      </c>
      <c r="I7" s="80">
        <f t="shared" ref="I7:I20" si="2">(D7+J7)/2</f>
        <v>1.2200150427034206</v>
      </c>
      <c r="J7" s="80">
        <f>[13]Results!$E7</f>
        <v>1.352877163348706</v>
      </c>
      <c r="K7" s="80">
        <f>(J7+L7)/2</f>
        <v>1.4379975696100447</v>
      </c>
      <c r="L7" s="80">
        <f>[13]Results!$F7</f>
        <v>1.5231179758713835</v>
      </c>
      <c r="M7" s="80">
        <f>(L7+N7)/2</f>
        <v>1.5449057096438203</v>
      </c>
      <c r="N7" s="80">
        <f>[13]Results!$G7</f>
        <v>1.5666934434162572</v>
      </c>
      <c r="O7" s="156">
        <f>(N7+P7)/2</f>
        <v>1.6338873592082215</v>
      </c>
      <c r="P7" s="156">
        <f>[13]Results!$H7</f>
        <v>1.7010812750001856</v>
      </c>
      <c r="Q7" s="157">
        <f t="shared" ref="Q7:Q20" si="3">P7+(P7-O7)</f>
        <v>1.7682751907921497</v>
      </c>
    </row>
    <row r="8" spans="3:17" ht="15.5" x14ac:dyDescent="0.35">
      <c r="C8" s="24" t="s">
        <v>1</v>
      </c>
      <c r="D8" s="81">
        <f>[13]Results!$D8</f>
        <v>2.0290936975089862</v>
      </c>
      <c r="E8" s="82">
        <f t="shared" si="0"/>
        <v>2.0890731798915128</v>
      </c>
      <c r="F8" s="82">
        <f t="shared" si="1"/>
        <v>2.1490526622740393</v>
      </c>
      <c r="G8" s="82">
        <f t="shared" ref="G8:G20" si="4">(D8*7+J8*3)/10</f>
        <v>2.2090321446565659</v>
      </c>
      <c r="H8" s="82">
        <f t="shared" ref="H8:H20" si="5">(D8*6+J8*4)/10</f>
        <v>2.2690116270390925</v>
      </c>
      <c r="I8" s="82">
        <f t="shared" si="2"/>
        <v>2.3289911094216191</v>
      </c>
      <c r="J8" s="82">
        <f>[13]Results!$E8</f>
        <v>2.6288885213342521</v>
      </c>
      <c r="K8" s="82">
        <f t="shared" ref="K8:M20" si="6">(J8+L8)/2</f>
        <v>2.8385883397315328</v>
      </c>
      <c r="L8" s="82">
        <f>[13]Results!$F8</f>
        <v>3.0482881581288135</v>
      </c>
      <c r="M8" s="82">
        <f t="shared" si="6"/>
        <v>3.2344370578816877</v>
      </c>
      <c r="N8" s="82">
        <f>[13]Results!$G8</f>
        <v>3.4205859576345619</v>
      </c>
      <c r="O8" s="159">
        <f t="shared" ref="O8:O20" si="7">(N8+P8)/2</f>
        <v>3.6092605506055917</v>
      </c>
      <c r="P8" s="159">
        <f>[13]Results!$H8</f>
        <v>3.7979351435766215</v>
      </c>
      <c r="Q8" s="160">
        <f t="shared" si="3"/>
        <v>3.9866097365476514</v>
      </c>
    </row>
    <row r="9" spans="3:17" ht="15.5" x14ac:dyDescent="0.35">
      <c r="C9" s="24" t="s">
        <v>2</v>
      </c>
      <c r="D9" s="81">
        <f>[13]Results!$D9</f>
        <v>4.7276106686712636</v>
      </c>
      <c r="E9" s="82">
        <f t="shared" si="0"/>
        <v>4.840833443874617</v>
      </c>
      <c r="F9" s="82">
        <f t="shared" si="1"/>
        <v>4.9540562190779713</v>
      </c>
      <c r="G9" s="82">
        <f t="shared" si="4"/>
        <v>5.0672789942813257</v>
      </c>
      <c r="H9" s="82">
        <f t="shared" si="5"/>
        <v>5.1805017694846782</v>
      </c>
      <c r="I9" s="82">
        <f t="shared" si="2"/>
        <v>5.2937245446880326</v>
      </c>
      <c r="J9" s="82">
        <f>[13]Results!$E9</f>
        <v>5.8598384207048007</v>
      </c>
      <c r="K9" s="82">
        <f t="shared" si="6"/>
        <v>6.1965688495441089</v>
      </c>
      <c r="L9" s="82">
        <f>[13]Results!$F9</f>
        <v>6.5332992783834172</v>
      </c>
      <c r="M9" s="82">
        <f t="shared" si="6"/>
        <v>6.7546400407930154</v>
      </c>
      <c r="N9" s="82">
        <f>[13]Results!$G9</f>
        <v>6.9759808032026136</v>
      </c>
      <c r="O9" s="159">
        <f t="shared" si="7"/>
        <v>7.1981521168729294</v>
      </c>
      <c r="P9" s="159">
        <f>[13]Results!$H9</f>
        <v>7.4203234305432462</v>
      </c>
      <c r="Q9" s="160">
        <f t="shared" si="3"/>
        <v>7.6424947442135629</v>
      </c>
    </row>
    <row r="10" spans="3:17" ht="15.5" x14ac:dyDescent="0.35">
      <c r="C10" s="24" t="s">
        <v>3</v>
      </c>
      <c r="D10" s="81">
        <f>[13]Results!$D10</f>
        <v>2.0588211358464461</v>
      </c>
      <c r="E10" s="82">
        <f t="shared" si="0"/>
        <v>2.110736759131302</v>
      </c>
      <c r="F10" s="82">
        <f t="shared" si="1"/>
        <v>2.162652382416157</v>
      </c>
      <c r="G10" s="82">
        <f t="shared" si="4"/>
        <v>2.2145680057010124</v>
      </c>
      <c r="H10" s="82">
        <f t="shared" si="5"/>
        <v>2.2664836289858679</v>
      </c>
      <c r="I10" s="82">
        <f t="shared" si="2"/>
        <v>2.3183992522707237</v>
      </c>
      <c r="J10" s="82">
        <f>[13]Results!$E10</f>
        <v>2.5779773686950009</v>
      </c>
      <c r="K10" s="82">
        <f t="shared" si="6"/>
        <v>2.6893821601457457</v>
      </c>
      <c r="L10" s="82">
        <f>[13]Results!$F10</f>
        <v>2.80078695159649</v>
      </c>
      <c r="M10" s="82">
        <f t="shared" si="6"/>
        <v>2.8132430737972447</v>
      </c>
      <c r="N10" s="82">
        <f>[13]Results!$G10</f>
        <v>2.8256991959979993</v>
      </c>
      <c r="O10" s="159">
        <f t="shared" si="7"/>
        <v>2.8995177253458606</v>
      </c>
      <c r="P10" s="159">
        <f>[13]Results!$H10</f>
        <v>2.9733362546937219</v>
      </c>
      <c r="Q10" s="160">
        <f t="shared" si="3"/>
        <v>3.0471547840415831</v>
      </c>
    </row>
    <row r="11" spans="3:17" ht="15.5" x14ac:dyDescent="0.35">
      <c r="C11" s="24" t="s">
        <v>4</v>
      </c>
      <c r="D11" s="81">
        <f>[13]Results!$D11</f>
        <v>0.43137713077393808</v>
      </c>
      <c r="E11" s="82">
        <f t="shared" si="0"/>
        <v>0.45114294632194502</v>
      </c>
      <c r="F11" s="82">
        <f t="shared" si="1"/>
        <v>0.47090876186995184</v>
      </c>
      <c r="G11" s="82">
        <f t="shared" si="4"/>
        <v>0.49067457741795872</v>
      </c>
      <c r="H11" s="82">
        <f t="shared" si="5"/>
        <v>0.51044039296596555</v>
      </c>
      <c r="I11" s="82">
        <f t="shared" si="2"/>
        <v>0.53020620851397238</v>
      </c>
      <c r="J11" s="82">
        <f>[13]Results!$E11</f>
        <v>0.62903528625400673</v>
      </c>
      <c r="K11" s="82">
        <f t="shared" si="6"/>
        <v>0.64371011644642251</v>
      </c>
      <c r="L11" s="82">
        <f>[13]Results!$F11</f>
        <v>0.6583849466388384</v>
      </c>
      <c r="M11" s="82">
        <f t="shared" si="6"/>
        <v>0.60873279746478959</v>
      </c>
      <c r="N11" s="82">
        <f>[13]Results!$G11</f>
        <v>0.55908064829074078</v>
      </c>
      <c r="O11" s="159">
        <f t="shared" si="7"/>
        <v>0.5652583374099136</v>
      </c>
      <c r="P11" s="159">
        <f>[13]Results!$H11</f>
        <v>0.57143602652908654</v>
      </c>
      <c r="Q11" s="160">
        <f t="shared" si="3"/>
        <v>0.57761371564825947</v>
      </c>
    </row>
    <row r="12" spans="3:17" ht="15.5" x14ac:dyDescent="0.35">
      <c r="C12" s="24" t="s">
        <v>5</v>
      </c>
      <c r="D12" s="81">
        <f>[13]Results!$D12</f>
        <v>0.839100298827122</v>
      </c>
      <c r="E12" s="82">
        <f t="shared" si="0"/>
        <v>0.87293201544537136</v>
      </c>
      <c r="F12" s="82">
        <f t="shared" si="1"/>
        <v>0.90676373206362049</v>
      </c>
      <c r="G12" s="82">
        <f t="shared" si="4"/>
        <v>0.94059544868186973</v>
      </c>
      <c r="H12" s="82">
        <f t="shared" si="5"/>
        <v>0.97442716530011886</v>
      </c>
      <c r="I12" s="82">
        <f t="shared" si="2"/>
        <v>1.008258881918368</v>
      </c>
      <c r="J12" s="82">
        <f>[13]Results!$E12</f>
        <v>1.1774174650096141</v>
      </c>
      <c r="K12" s="82">
        <f t="shared" si="6"/>
        <v>1.2296466721807251</v>
      </c>
      <c r="L12" s="82">
        <f>[13]Results!$F12</f>
        <v>1.2818758793518359</v>
      </c>
      <c r="M12" s="82">
        <f t="shared" si="6"/>
        <v>1.2538584224161031</v>
      </c>
      <c r="N12" s="82">
        <f>[13]Results!$G12</f>
        <v>1.2258409654803706</v>
      </c>
      <c r="O12" s="159">
        <f t="shared" si="7"/>
        <v>1.2480029437026565</v>
      </c>
      <c r="P12" s="159">
        <f>[13]Results!$H12</f>
        <v>1.2701649219249422</v>
      </c>
      <c r="Q12" s="160">
        <f t="shared" si="3"/>
        <v>1.292326900147228</v>
      </c>
    </row>
    <row r="13" spans="3:17" ht="15.5" x14ac:dyDescent="0.35">
      <c r="C13" s="24" t="s">
        <v>6</v>
      </c>
      <c r="D13" s="81">
        <f>[13]Results!$D13</f>
        <v>0.73590904157793025</v>
      </c>
      <c r="E13" s="82">
        <f t="shared" si="0"/>
        <v>0.7520800994283322</v>
      </c>
      <c r="F13" s="82">
        <f t="shared" si="1"/>
        <v>0.76825115727873416</v>
      </c>
      <c r="G13" s="82">
        <f t="shared" si="4"/>
        <v>0.78442221512913624</v>
      </c>
      <c r="H13" s="82">
        <f t="shared" si="5"/>
        <v>0.80059327297953808</v>
      </c>
      <c r="I13" s="82">
        <f t="shared" si="2"/>
        <v>0.81676433082994015</v>
      </c>
      <c r="J13" s="82">
        <f>[13]Results!$E13</f>
        <v>0.89761962008194995</v>
      </c>
      <c r="K13" s="82">
        <f t="shared" si="6"/>
        <v>0.93575545401268112</v>
      </c>
      <c r="L13" s="82">
        <f>[13]Results!$F13</f>
        <v>0.97389128794341229</v>
      </c>
      <c r="M13" s="82">
        <f t="shared" si="6"/>
        <v>0.99702948451818441</v>
      </c>
      <c r="N13" s="82">
        <f>[13]Results!$G13</f>
        <v>1.0201676810929565</v>
      </c>
      <c r="O13" s="159">
        <f t="shared" si="7"/>
        <v>1.0415129765897309</v>
      </c>
      <c r="P13" s="159">
        <f>[13]Results!$H13</f>
        <v>1.0628582720865054</v>
      </c>
      <c r="Q13" s="160">
        <f t="shared" si="3"/>
        <v>1.08420356758328</v>
      </c>
    </row>
    <row r="14" spans="3:17" ht="15.5" x14ac:dyDescent="0.35">
      <c r="C14" s="24" t="s">
        <v>7</v>
      </c>
      <c r="D14" s="81">
        <f>[13]Results!$D14</f>
        <v>1.6336054163377352</v>
      </c>
      <c r="E14" s="82">
        <f t="shared" si="0"/>
        <v>1.6785233508638284</v>
      </c>
      <c r="F14" s="82">
        <f t="shared" si="1"/>
        <v>1.7234412853899219</v>
      </c>
      <c r="G14" s="82">
        <f t="shared" si="4"/>
        <v>1.7683592199160152</v>
      </c>
      <c r="H14" s="82">
        <f t="shared" si="5"/>
        <v>1.8132771544421089</v>
      </c>
      <c r="I14" s="82">
        <f t="shared" si="2"/>
        <v>1.8581950889682022</v>
      </c>
      <c r="J14" s="82">
        <f>[13]Results!$E14</f>
        <v>2.0827847615986692</v>
      </c>
      <c r="K14" s="82">
        <f t="shared" si="6"/>
        <v>2.192387811371372</v>
      </c>
      <c r="L14" s="82">
        <f>[13]Results!$F14</f>
        <v>2.3019908611440743</v>
      </c>
      <c r="M14" s="82">
        <f t="shared" si="6"/>
        <v>2.3613632381387921</v>
      </c>
      <c r="N14" s="82">
        <f>[13]Results!$G14</f>
        <v>2.4207356151335104</v>
      </c>
      <c r="O14" s="159">
        <f t="shared" si="7"/>
        <v>2.4679455518046938</v>
      </c>
      <c r="P14" s="159">
        <f>[13]Results!$H14</f>
        <v>2.5151554884758776</v>
      </c>
      <c r="Q14" s="160">
        <f t="shared" si="3"/>
        <v>2.5623654251470613</v>
      </c>
    </row>
    <row r="15" spans="3:17" ht="15.5" x14ac:dyDescent="0.35">
      <c r="C15" s="24" t="s">
        <v>8</v>
      </c>
      <c r="D15" s="81">
        <f>[13]Results!$D15</f>
        <v>0.68676325933740434</v>
      </c>
      <c r="E15" s="82">
        <f t="shared" si="0"/>
        <v>0.70701849890624335</v>
      </c>
      <c r="F15" s="82">
        <f t="shared" si="1"/>
        <v>0.72727373847508248</v>
      </c>
      <c r="G15" s="82">
        <f t="shared" si="4"/>
        <v>0.74752897804392171</v>
      </c>
      <c r="H15" s="82">
        <f t="shared" si="5"/>
        <v>0.76778421761276072</v>
      </c>
      <c r="I15" s="82">
        <f t="shared" si="2"/>
        <v>0.78803945718159985</v>
      </c>
      <c r="J15" s="82">
        <f>[13]Results!$E15</f>
        <v>0.88931565502579535</v>
      </c>
      <c r="K15" s="82">
        <f t="shared" si="6"/>
        <v>0.94356607629042899</v>
      </c>
      <c r="L15" s="82">
        <f>[13]Results!$F15</f>
        <v>0.99781649755506274</v>
      </c>
      <c r="M15" s="82">
        <f t="shared" si="6"/>
        <v>1.0353347806854476</v>
      </c>
      <c r="N15" s="82">
        <f>[13]Results!$G15</f>
        <v>1.0728530638158327</v>
      </c>
      <c r="O15" s="159">
        <f t="shared" si="7"/>
        <v>1.1059301218369524</v>
      </c>
      <c r="P15" s="159">
        <f>[13]Results!$H15</f>
        <v>1.1390071798580723</v>
      </c>
      <c r="Q15" s="160">
        <f t="shared" si="3"/>
        <v>1.1720842378791922</v>
      </c>
    </row>
    <row r="16" spans="3:17" ht="15.5" x14ac:dyDescent="0.35">
      <c r="C16" s="24" t="s">
        <v>9</v>
      </c>
      <c r="D16" s="81">
        <f>[13]Results!$D16</f>
        <v>1.0315956918253852</v>
      </c>
      <c r="E16" s="82">
        <f t="shared" si="0"/>
        <v>1.0549414604988399</v>
      </c>
      <c r="F16" s="82">
        <f t="shared" si="1"/>
        <v>1.0782872291722945</v>
      </c>
      <c r="G16" s="82">
        <f t="shared" si="4"/>
        <v>1.1016329978457491</v>
      </c>
      <c r="H16" s="82">
        <f t="shared" si="5"/>
        <v>1.1249787665192039</v>
      </c>
      <c r="I16" s="82">
        <f t="shared" si="2"/>
        <v>1.1483245351926588</v>
      </c>
      <c r="J16" s="82">
        <f>[13]Results!$E16</f>
        <v>1.2650533785599321</v>
      </c>
      <c r="K16" s="82">
        <f t="shared" si="6"/>
        <v>1.344709191942544</v>
      </c>
      <c r="L16" s="82">
        <f>[13]Results!$F16</f>
        <v>1.4243650053251562</v>
      </c>
      <c r="M16" s="82">
        <f t="shared" si="6"/>
        <v>1.4404905035223412</v>
      </c>
      <c r="N16" s="82">
        <f>[13]Results!$G16</f>
        <v>1.4566160017195264</v>
      </c>
      <c r="O16" s="159">
        <f t="shared" si="7"/>
        <v>1.491798963978137</v>
      </c>
      <c r="P16" s="159">
        <f>[13]Results!$H16</f>
        <v>1.5269819262367474</v>
      </c>
      <c r="Q16" s="160">
        <f t="shared" si="3"/>
        <v>1.5621648884953578</v>
      </c>
    </row>
    <row r="17" spans="3:17" ht="15.5" x14ac:dyDescent="0.35">
      <c r="C17" s="24" t="s">
        <v>10</v>
      </c>
      <c r="D17" s="81">
        <f>[13]Results!$D17</f>
        <v>0.22789233877053591</v>
      </c>
      <c r="E17" s="82">
        <f t="shared" si="0"/>
        <v>0.23117362086879728</v>
      </c>
      <c r="F17" s="82">
        <f t="shared" si="1"/>
        <v>0.23445490296705868</v>
      </c>
      <c r="G17" s="82">
        <f t="shared" si="4"/>
        <v>0.23773618506532004</v>
      </c>
      <c r="H17" s="82">
        <f t="shared" si="5"/>
        <v>0.24101746716358141</v>
      </c>
      <c r="I17" s="82">
        <f t="shared" si="2"/>
        <v>0.24429874926184275</v>
      </c>
      <c r="J17" s="82">
        <f>[13]Results!$E17</f>
        <v>0.26070515975314962</v>
      </c>
      <c r="K17" s="82">
        <f t="shared" si="6"/>
        <v>0.26763415690958103</v>
      </c>
      <c r="L17" s="82">
        <f>[13]Results!$F17</f>
        <v>0.27456315406601239</v>
      </c>
      <c r="M17" s="82">
        <f t="shared" si="6"/>
        <v>0.27385370226131017</v>
      </c>
      <c r="N17" s="82">
        <f>[13]Results!$G17</f>
        <v>0.27314425045660795</v>
      </c>
      <c r="O17" s="159">
        <f t="shared" si="7"/>
        <v>0.27404723595456676</v>
      </c>
      <c r="P17" s="159">
        <f>[13]Results!$H17</f>
        <v>0.27495022145252557</v>
      </c>
      <c r="Q17" s="160">
        <f t="shared" si="3"/>
        <v>0.27585320695048438</v>
      </c>
    </row>
    <row r="18" spans="3:17" ht="15.5" x14ac:dyDescent="0.35">
      <c r="C18" s="24" t="s">
        <v>11</v>
      </c>
      <c r="D18" s="81">
        <f>[13]Results!$D18</f>
        <v>2.6623189599156047</v>
      </c>
      <c r="E18" s="82">
        <f t="shared" si="0"/>
        <v>2.7400996465476566</v>
      </c>
      <c r="F18" s="82">
        <f t="shared" si="1"/>
        <v>2.817880333179708</v>
      </c>
      <c r="G18" s="82">
        <f t="shared" si="4"/>
        <v>2.8956610198117598</v>
      </c>
      <c r="H18" s="82">
        <f t="shared" si="5"/>
        <v>2.9734417064438117</v>
      </c>
      <c r="I18" s="82">
        <f t="shared" si="2"/>
        <v>3.0512223930758635</v>
      </c>
      <c r="J18" s="82">
        <f>[13]Results!$E18</f>
        <v>3.4401258262361218</v>
      </c>
      <c r="K18" s="82">
        <f t="shared" si="6"/>
        <v>3.6805728979815262</v>
      </c>
      <c r="L18" s="82">
        <f>[13]Results!$F18</f>
        <v>3.921019969726931</v>
      </c>
      <c r="M18" s="82">
        <f t="shared" si="6"/>
        <v>4.1266193983875201</v>
      </c>
      <c r="N18" s="82">
        <f>[13]Results!$G18</f>
        <v>4.3322188270481101</v>
      </c>
      <c r="O18" s="159">
        <f t="shared" si="7"/>
        <v>4.4687755048938946</v>
      </c>
      <c r="P18" s="159">
        <f>[13]Results!$H18</f>
        <v>4.6053321827396783</v>
      </c>
      <c r="Q18" s="160">
        <f t="shared" si="3"/>
        <v>4.7418888605854619</v>
      </c>
    </row>
    <row r="19" spans="3:17" ht="15.5" x14ac:dyDescent="0.35">
      <c r="C19" s="24" t="s">
        <v>12</v>
      </c>
      <c r="D19" s="81">
        <f>[13]Results!$D19</f>
        <v>1.1497361586992993</v>
      </c>
      <c r="E19" s="82">
        <f t="shared" si="0"/>
        <v>1.1880729922556124</v>
      </c>
      <c r="F19" s="82">
        <f t="shared" si="1"/>
        <v>1.2264098258119256</v>
      </c>
      <c r="G19" s="82">
        <f t="shared" si="4"/>
        <v>1.2647466593682388</v>
      </c>
      <c r="H19" s="82">
        <f t="shared" si="5"/>
        <v>1.3030834929245518</v>
      </c>
      <c r="I19" s="82">
        <f t="shared" si="2"/>
        <v>1.3414203264808651</v>
      </c>
      <c r="J19" s="82">
        <f>[13]Results!$E19</f>
        <v>1.5331044942624308</v>
      </c>
      <c r="K19" s="82">
        <f t="shared" si="6"/>
        <v>1.6245866980925892</v>
      </c>
      <c r="L19" s="82">
        <f>[13]Results!$F19</f>
        <v>1.7160689019227475</v>
      </c>
      <c r="M19" s="82">
        <f t="shared" si="6"/>
        <v>1.7762282430465346</v>
      </c>
      <c r="N19" s="82">
        <f>[13]Results!$G19</f>
        <v>1.8363875841703217</v>
      </c>
      <c r="O19" s="159">
        <f t="shared" si="7"/>
        <v>1.9046057497560096</v>
      </c>
      <c r="P19" s="159">
        <f>[13]Results!$H19</f>
        <v>1.9728239153416975</v>
      </c>
      <c r="Q19" s="160">
        <f t="shared" si="3"/>
        <v>2.0410420809273857</v>
      </c>
    </row>
    <row r="20" spans="3:17" ht="16" thickBot="1" x14ac:dyDescent="0.4">
      <c r="C20" s="25" t="s">
        <v>13</v>
      </c>
      <c r="D20" s="76">
        <f>[13]Results!$D20</f>
        <v>0.58393394575965829</v>
      </c>
      <c r="E20" s="77">
        <f t="shared" si="0"/>
        <v>0.59927358832898547</v>
      </c>
      <c r="F20" s="77">
        <f t="shared" si="1"/>
        <v>0.61461323089831288</v>
      </c>
      <c r="G20" s="77">
        <f t="shared" si="4"/>
        <v>0.62995287346764017</v>
      </c>
      <c r="H20" s="77">
        <f t="shared" si="5"/>
        <v>0.64529251603696747</v>
      </c>
      <c r="I20" s="77">
        <f t="shared" si="2"/>
        <v>0.66063215860629465</v>
      </c>
      <c r="J20" s="77">
        <f>[13]Results!$E20</f>
        <v>0.73733037145293112</v>
      </c>
      <c r="K20" s="77">
        <f t="shared" si="6"/>
        <v>0.78004926308767497</v>
      </c>
      <c r="L20" s="77">
        <f>[13]Results!$F20</f>
        <v>0.82276815472241893</v>
      </c>
      <c r="M20" s="77">
        <f t="shared" si="6"/>
        <v>0.83240971469277314</v>
      </c>
      <c r="N20" s="77">
        <f>[13]Results!$G20</f>
        <v>0.84205127466312746</v>
      </c>
      <c r="O20" s="162">
        <f t="shared" si="7"/>
        <v>0.85380128743917427</v>
      </c>
      <c r="P20" s="162">
        <f>[13]Results!$H20</f>
        <v>0.8655513002152212</v>
      </c>
      <c r="Q20" s="163">
        <f t="shared" si="3"/>
        <v>0.87730131299126812</v>
      </c>
    </row>
    <row r="21" spans="3:17" ht="32" thickTop="1" thickBot="1" x14ac:dyDescent="0.4">
      <c r="C21" s="20" t="s">
        <v>24</v>
      </c>
      <c r="D21" s="83">
        <f>SUM(D7:D20)</f>
        <v>19.884910665909441</v>
      </c>
      <c r="E21" s="84">
        <f t="shared" ref="E21:Q21" si="8">SUM(E7:E20)</f>
        <v>20.429626948550233</v>
      </c>
      <c r="F21" s="84">
        <f t="shared" si="8"/>
        <v>20.974343231191025</v>
      </c>
      <c r="G21" s="84">
        <f t="shared" si="8"/>
        <v>21.51905951383182</v>
      </c>
      <c r="H21" s="84">
        <f t="shared" si="8"/>
        <v>22.063775796472605</v>
      </c>
      <c r="I21" s="84">
        <f t="shared" si="8"/>
        <v>22.608492079113404</v>
      </c>
      <c r="J21" s="84">
        <f t="shared" si="8"/>
        <v>25.33207349231737</v>
      </c>
      <c r="K21" s="84">
        <f t="shared" si="8"/>
        <v>26.805155257346982</v>
      </c>
      <c r="L21" s="84">
        <f t="shared" si="8"/>
        <v>28.278237022376594</v>
      </c>
      <c r="M21" s="84">
        <f t="shared" si="8"/>
        <v>29.053146167249569</v>
      </c>
      <c r="N21" s="84">
        <f t="shared" si="8"/>
        <v>29.828055312122533</v>
      </c>
      <c r="O21" s="84">
        <f t="shared" si="8"/>
        <v>30.762496425398329</v>
      </c>
      <c r="P21" s="84">
        <f t="shared" si="8"/>
        <v>31.696937538674124</v>
      </c>
      <c r="Q21" s="85">
        <f t="shared" si="8"/>
        <v>32.631378651949923</v>
      </c>
    </row>
    <row r="22" spans="3:17" ht="13" thickTop="1" x14ac:dyDescent="0.25">
      <c r="E22" s="43"/>
      <c r="F22" s="43"/>
      <c r="G22" s="43"/>
      <c r="H22" s="43"/>
    </row>
    <row r="24" spans="3:17" ht="13" thickBot="1" x14ac:dyDescent="0.3"/>
    <row r="25" spans="3:17" ht="16" thickTop="1" x14ac:dyDescent="0.35">
      <c r="C25" s="32" t="s">
        <v>107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37" t="s">
        <v>37</v>
      </c>
      <c r="F26" s="37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</row>
    <row r="27" spans="3:17" ht="14" thickTop="1" thickBot="1" x14ac:dyDescent="0.3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32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32" thickTop="1" thickBot="1" x14ac:dyDescent="0.4">
      <c r="C28" s="20" t="s">
        <v>24</v>
      </c>
      <c r="D28" s="48" t="s">
        <v>108</v>
      </c>
      <c r="E28" s="48" t="s">
        <v>108</v>
      </c>
      <c r="F28" s="125">
        <v>1</v>
      </c>
      <c r="G28" s="125">
        <f>(1.005)^1</f>
        <v>1.0049999999999999</v>
      </c>
      <c r="H28" s="125">
        <f>(1.005)^2</f>
        <v>1.0100249999999997</v>
      </c>
      <c r="I28" s="146">
        <f>(1.005)^3</f>
        <v>1.0150751249999996</v>
      </c>
      <c r="J28" s="146">
        <f>I28*(1.005)^5</f>
        <v>1.0407070439254369</v>
      </c>
      <c r="K28" s="146">
        <f>J28*(1.005)^5</f>
        <v>1.06698620092382</v>
      </c>
      <c r="L28" s="146">
        <f>K28*(1.005)^5</f>
        <v>1.0939289395675629</v>
      </c>
      <c r="M28" s="146">
        <f>L28*(1.005)^5</f>
        <v>1.1215520161247639</v>
      </c>
      <c r="N28" s="146">
        <f>M28*(1.005)^5</f>
        <v>1.1498726099802883</v>
      </c>
      <c r="O28" s="146">
        <f t="shared" ref="O28:Q28" si="9">N28*(1.005)^5</f>
        <v>1.1789083343199973</v>
      </c>
      <c r="P28" s="146">
        <f t="shared" si="9"/>
        <v>1.2086772470847669</v>
      </c>
      <c r="Q28" s="147">
        <f t="shared" si="9"/>
        <v>1.2391978622011086</v>
      </c>
    </row>
    <row r="29" spans="3:17" ht="13" thickTop="1" x14ac:dyDescent="0.25">
      <c r="C29" t="s">
        <v>167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3:Q66"/>
  <sheetViews>
    <sheetView topLeftCell="A16" zoomScale="90" zoomScaleNormal="90" workbookViewId="0">
      <selection activeCell="M60" sqref="M60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34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32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 ca="1">'[8]Total Distance Tables'!$B$12</f>
        <v>44.734594063999999</v>
      </c>
      <c r="E7" s="53">
        <f t="shared" ref="E7:E20" ca="1" si="0">D7*4/5 + I7/5</f>
        <v>44.629782553100753</v>
      </c>
      <c r="F7" s="53">
        <f t="shared" ref="F7:F20" ca="1" si="1">D7*3/5+I7*2/5</f>
        <v>44.5249710422015</v>
      </c>
      <c r="G7" s="53">
        <f t="shared" ref="G7:G20" ca="1" si="2">D7*2/5+I7*3/5</f>
        <v>44.420159531302247</v>
      </c>
      <c r="H7" s="53">
        <f t="shared" ref="H7:H20" ca="1" si="3">D7/5+I7*4/5</f>
        <v>44.315348020403</v>
      </c>
      <c r="I7" s="53">
        <f ca="1">'[8]Total Distance Tables'!C12</f>
        <v>44.210536509503747</v>
      </c>
      <c r="J7" s="53">
        <f ca="1">'[8]Total Distance Tables'!D12</f>
        <v>43.739248920842712</v>
      </c>
      <c r="K7" s="53">
        <f ca="1">'[8]Total Distance Tables'!E12</f>
        <v>43.431846711174501</v>
      </c>
      <c r="L7" s="53">
        <f ca="1">'[8]Total Distance Tables'!F12</f>
        <v>42.285976873369115</v>
      </c>
      <c r="M7" s="53">
        <f ca="1">'[8]Total Distance Tables'!G12</f>
        <v>41.53290022531516</v>
      </c>
      <c r="N7" s="53">
        <f ca="1">'[8]Total Distance Tables'!H12</f>
        <v>40.584136226170948</v>
      </c>
      <c r="O7" s="53">
        <f ca="1">'[8]Total Distance Tables'!I12</f>
        <v>41.204591726580155</v>
      </c>
      <c r="P7" s="53">
        <f ca="1">'[8]Total Distance Tables'!J12</f>
        <v>41.716510625213509</v>
      </c>
      <c r="Q7" s="54">
        <f ca="1">'[8]Total Distance Tables'!K12</f>
        <v>42.159594898909269</v>
      </c>
    </row>
    <row r="8" spans="3:17" ht="15.5" x14ac:dyDescent="0.35">
      <c r="C8" s="24" t="s">
        <v>1</v>
      </c>
      <c r="D8" s="55">
        <f ca="1">'[8]Total Distance Tables'!$B$23</f>
        <v>438.79018300000001</v>
      </c>
      <c r="E8" s="56">
        <f t="shared" ca="1" si="0"/>
        <v>444.37261421913604</v>
      </c>
      <c r="F8" s="56">
        <f t="shared" ca="1" si="1"/>
        <v>449.95504543827207</v>
      </c>
      <c r="G8" s="56">
        <f t="shared" ca="1" si="2"/>
        <v>455.53747665740804</v>
      </c>
      <c r="H8" s="56">
        <f t="shared" ca="1" si="3"/>
        <v>461.11990787654406</v>
      </c>
      <c r="I8" s="56">
        <f ca="1">'[8]Total Distance Tables'!C23</f>
        <v>466.70233909568009</v>
      </c>
      <c r="J8" s="56">
        <f ca="1">'[8]Total Distance Tables'!D23</f>
        <v>612.34079847648843</v>
      </c>
      <c r="K8" s="56">
        <f ca="1">'[8]Total Distance Tables'!E23</f>
        <v>733.22808150172034</v>
      </c>
      <c r="L8" s="56">
        <f ca="1">'[8]Total Distance Tables'!F23</f>
        <v>784.25600785752545</v>
      </c>
      <c r="M8" s="56">
        <f ca="1">'[8]Total Distance Tables'!G23</f>
        <v>826.72232102138798</v>
      </c>
      <c r="N8" s="56">
        <f ca="1">'[8]Total Distance Tables'!H23</f>
        <v>862.28223910927261</v>
      </c>
      <c r="O8" s="56">
        <f ca="1">'[8]Total Distance Tables'!I23</f>
        <v>932.83215667246668</v>
      </c>
      <c r="P8" s="56">
        <f ca="1">'[8]Total Distance Tables'!J23</f>
        <v>1006.293736752051</v>
      </c>
      <c r="Q8" s="57">
        <f ca="1">'[8]Total Distance Tables'!K23</f>
        <v>1085.776588110223</v>
      </c>
    </row>
    <row r="9" spans="3:17" ht="15.5" x14ac:dyDescent="0.35">
      <c r="C9" s="24" t="s">
        <v>2</v>
      </c>
      <c r="D9" s="55">
        <f ca="1">'[8]Total Distance Tables'!$B$34</f>
        <v>54.303948532</v>
      </c>
      <c r="E9" s="56">
        <f t="shared" ca="1" si="0"/>
        <v>54.300132408310915</v>
      </c>
      <c r="F9" s="56">
        <f t="shared" ca="1" si="1"/>
        <v>54.296316284621838</v>
      </c>
      <c r="G9" s="56">
        <f t="shared" ca="1" si="2"/>
        <v>54.292500160932747</v>
      </c>
      <c r="H9" s="56">
        <f t="shared" ca="1" si="3"/>
        <v>54.288684037243669</v>
      </c>
      <c r="I9" s="56">
        <f ca="1">'[8]Total Distance Tables'!C34</f>
        <v>54.284867913554585</v>
      </c>
      <c r="J9" s="56">
        <f ca="1">'[8]Total Distance Tables'!D34</f>
        <v>53.85436766129304</v>
      </c>
      <c r="K9" s="56">
        <f ca="1">'[8]Total Distance Tables'!E34</f>
        <v>53.580985945781713</v>
      </c>
      <c r="L9" s="56">
        <f ca="1">'[8]Total Distance Tables'!F34</f>
        <v>52.31356812034452</v>
      </c>
      <c r="M9" s="56">
        <f ca="1">'[8]Total Distance Tables'!G34</f>
        <v>51.51729532309465</v>
      </c>
      <c r="N9" s="56">
        <f ca="1">'[8]Total Distance Tables'!H34</f>
        <v>50.509221444386178</v>
      </c>
      <c r="O9" s="56">
        <f ca="1">'[8]Total Distance Tables'!I34</f>
        <v>51.429495656695977</v>
      </c>
      <c r="P9" s="56">
        <f ca="1">'[8]Total Distance Tables'!J34</f>
        <v>52.194039661279326</v>
      </c>
      <c r="Q9" s="57">
        <f ca="1">'[8]Total Distance Tables'!K34</f>
        <v>52.850001925564719</v>
      </c>
    </row>
    <row r="10" spans="3:17" ht="15.5" x14ac:dyDescent="0.35">
      <c r="C10" s="27" t="s">
        <v>3</v>
      </c>
      <c r="D10" s="55">
        <f ca="1">'[8]Total Distance Tables'!$B$45</f>
        <v>52.669440211999998</v>
      </c>
      <c r="E10" s="56">
        <f t="shared" ca="1" si="0"/>
        <v>52.508286041689139</v>
      </c>
      <c r="F10" s="56">
        <f t="shared" ca="1" si="1"/>
        <v>52.347131871378295</v>
      </c>
      <c r="G10" s="56">
        <f t="shared" ca="1" si="2"/>
        <v>52.185977701067429</v>
      </c>
      <c r="H10" s="56">
        <f t="shared" ca="1" si="3"/>
        <v>52.024823530756578</v>
      </c>
      <c r="I10" s="56">
        <f ca="1">'[8]Total Distance Tables'!C45</f>
        <v>51.863669360445719</v>
      </c>
      <c r="J10" s="56">
        <f ca="1">'[8]Total Distance Tables'!D45</f>
        <v>50.991817570640528</v>
      </c>
      <c r="K10" s="56">
        <f ca="1">'[8]Total Distance Tables'!E45</f>
        <v>50.359909619139813</v>
      </c>
      <c r="L10" s="56">
        <f ca="1">'[8]Total Distance Tables'!F45</f>
        <v>48.812407656394882</v>
      </c>
      <c r="M10" s="56">
        <f ca="1">'[8]Total Distance Tables'!G45</f>
        <v>47.709739669433688</v>
      </c>
      <c r="N10" s="56">
        <f ca="1">'[8]Total Distance Tables'!H45</f>
        <v>46.43340377726021</v>
      </c>
      <c r="O10" s="56">
        <f ca="1">'[8]Total Distance Tables'!I45</f>
        <v>46.93047025035969</v>
      </c>
      <c r="P10" s="56">
        <f ca="1">'[8]Total Distance Tables'!J45</f>
        <v>47.274014251731444</v>
      </c>
      <c r="Q10" s="57">
        <f ca="1">'[8]Total Distance Tables'!K45</f>
        <v>47.509536199977966</v>
      </c>
    </row>
    <row r="11" spans="3:17" ht="15.5" x14ac:dyDescent="0.35">
      <c r="C11" s="24" t="s">
        <v>4</v>
      </c>
      <c r="D11" s="55">
        <f ca="1">'[8]Total Distance Tables'!$B$56</f>
        <v>4.8778387282000004</v>
      </c>
      <c r="E11" s="56">
        <f t="shared" ca="1" si="0"/>
        <v>4.8207629050584773</v>
      </c>
      <c r="F11" s="56">
        <f t="shared" ca="1" si="1"/>
        <v>4.7636870819169541</v>
      </c>
      <c r="G11" s="56">
        <f t="shared" ca="1" si="2"/>
        <v>4.7066112587754318</v>
      </c>
      <c r="H11" s="56">
        <f t="shared" ca="1" si="3"/>
        <v>4.6495354356339087</v>
      </c>
      <c r="I11" s="56">
        <f ca="1">'[8]Total Distance Tables'!C56</f>
        <v>4.5924596124923855</v>
      </c>
      <c r="J11" s="56">
        <f ca="1">'[8]Total Distance Tables'!D56</f>
        <v>4.4025335610377505</v>
      </c>
      <c r="K11" s="56">
        <f ca="1">'[8]Total Distance Tables'!E56</f>
        <v>4.2631753432682205</v>
      </c>
      <c r="L11" s="56">
        <f ca="1">'[8]Total Distance Tables'!F56</f>
        <v>4.0551616795244705</v>
      </c>
      <c r="M11" s="56">
        <f ca="1">'[8]Total Distance Tables'!G56</f>
        <v>3.886973024946673</v>
      </c>
      <c r="N11" s="56">
        <f ca="1">'[8]Total Distance Tables'!H56</f>
        <v>3.7125957676692409</v>
      </c>
      <c r="O11" s="56">
        <f ca="1">'[8]Total Distance Tables'!I56</f>
        <v>3.6829705824919623</v>
      </c>
      <c r="P11" s="56">
        <f ca="1">'[8]Total Distance Tables'!J56</f>
        <v>3.6418137031233249</v>
      </c>
      <c r="Q11" s="57">
        <f ca="1">'[8]Total Distance Tables'!K56</f>
        <v>3.5932371906366432</v>
      </c>
    </row>
    <row r="12" spans="3:17" ht="15.5" x14ac:dyDescent="0.35">
      <c r="C12" s="24" t="s">
        <v>5</v>
      </c>
      <c r="D12" s="55">
        <f ca="1">'[8]Total Distance Tables'!$B$67</f>
        <v>39.591997026999998</v>
      </c>
      <c r="E12" s="56">
        <f t="shared" ca="1" si="0"/>
        <v>39.411797960694201</v>
      </c>
      <c r="F12" s="56">
        <f t="shared" ca="1" si="1"/>
        <v>39.231598894388405</v>
      </c>
      <c r="G12" s="56">
        <f t="shared" ca="1" si="2"/>
        <v>39.051399828082602</v>
      </c>
      <c r="H12" s="56">
        <f t="shared" ca="1" si="3"/>
        <v>38.871200761776805</v>
      </c>
      <c r="I12" s="56">
        <f ca="1">'[8]Total Distance Tables'!C67</f>
        <v>38.691001695471009</v>
      </c>
      <c r="J12" s="56">
        <f ca="1">'[8]Total Distance Tables'!D67</f>
        <v>38.019929482520482</v>
      </c>
      <c r="K12" s="56">
        <f ca="1">'[8]Total Distance Tables'!E67</f>
        <v>37.557219613036864</v>
      </c>
      <c r="L12" s="56">
        <f ca="1">'[8]Total Distance Tables'!F67</f>
        <v>36.417910592924471</v>
      </c>
      <c r="M12" s="56">
        <f ca="1">'[8]Total Distance Tables'!G67</f>
        <v>35.642620078932922</v>
      </c>
      <c r="N12" s="56">
        <f ca="1">'[8]Total Distance Tables'!H67</f>
        <v>34.773340580260204</v>
      </c>
      <c r="O12" s="56">
        <f ca="1">'[8]Total Distance Tables'!I67</f>
        <v>35.256910076403663</v>
      </c>
      <c r="P12" s="56">
        <f ca="1">'[8]Total Distance Tables'!J67</f>
        <v>35.654094643805649</v>
      </c>
      <c r="Q12" s="57">
        <f ca="1">'[8]Total Distance Tables'!K67</f>
        <v>35.99923154304301</v>
      </c>
    </row>
    <row r="13" spans="3:17" ht="15.5" x14ac:dyDescent="0.35">
      <c r="C13" s="24" t="s">
        <v>6</v>
      </c>
      <c r="D13" s="55">
        <f ca="1">'[8]Total Distance Tables'!$B$78</f>
        <v>14.084735078</v>
      </c>
      <c r="E13" s="56">
        <f t="shared" ca="1" si="0"/>
        <v>14.045531370712425</v>
      </c>
      <c r="F13" s="56">
        <f t="shared" ca="1" si="1"/>
        <v>14.006327663424848</v>
      </c>
      <c r="G13" s="56">
        <f t="shared" ca="1" si="2"/>
        <v>13.967123956137275</v>
      </c>
      <c r="H13" s="56">
        <f t="shared" ca="1" si="3"/>
        <v>13.927920248849698</v>
      </c>
      <c r="I13" s="56">
        <f ca="1">'[8]Total Distance Tables'!C78</f>
        <v>13.888716541562124</v>
      </c>
      <c r="J13" s="56">
        <f ca="1">'[8]Total Distance Tables'!D78</f>
        <v>13.762800014706048</v>
      </c>
      <c r="K13" s="56">
        <f ca="1">'[8]Total Distance Tables'!E78</f>
        <v>13.693913385432619</v>
      </c>
      <c r="L13" s="56">
        <f ca="1">'[8]Total Distance Tables'!F78</f>
        <v>13.389188302168179</v>
      </c>
      <c r="M13" s="56">
        <f ca="1">'[8]Total Distance Tables'!G78</f>
        <v>13.218529846154834</v>
      </c>
      <c r="N13" s="56">
        <f ca="1">'[8]Total Distance Tables'!H78</f>
        <v>13.007426665671497</v>
      </c>
      <c r="O13" s="56">
        <f ca="1">'[8]Total Distance Tables'!I78</f>
        <v>13.299639140856179</v>
      </c>
      <c r="P13" s="56">
        <f ca="1">'[8]Total Distance Tables'!J78</f>
        <v>13.560433713349683</v>
      </c>
      <c r="Q13" s="57">
        <f ca="1">'[8]Total Distance Tables'!K78</f>
        <v>13.802023034359021</v>
      </c>
    </row>
    <row r="14" spans="3:17" ht="15.5" x14ac:dyDescent="0.35">
      <c r="C14" s="24" t="s">
        <v>7</v>
      </c>
      <c r="D14" s="55">
        <f ca="1">'[8]Total Distance Tables'!$B$89</f>
        <v>39.768452936000003</v>
      </c>
      <c r="E14" s="56">
        <f t="shared" ca="1" si="0"/>
        <v>39.504067462306708</v>
      </c>
      <c r="F14" s="56">
        <f t="shared" ca="1" si="1"/>
        <v>39.23968198861342</v>
      </c>
      <c r="G14" s="56">
        <f t="shared" ca="1" si="2"/>
        <v>38.975296514920124</v>
      </c>
      <c r="H14" s="56">
        <f t="shared" ca="1" si="3"/>
        <v>38.710911041226836</v>
      </c>
      <c r="I14" s="56">
        <f ca="1">'[8]Total Distance Tables'!C89</f>
        <v>38.446525567533541</v>
      </c>
      <c r="J14" s="56">
        <f ca="1">'[8]Total Distance Tables'!D89</f>
        <v>37.324270698580307</v>
      </c>
      <c r="K14" s="56">
        <f ca="1">'[8]Total Distance Tables'!E89</f>
        <v>36.499263551470108</v>
      </c>
      <c r="L14" s="56">
        <f ca="1">'[8]Total Distance Tables'!F89</f>
        <v>35.041572983410838</v>
      </c>
      <c r="M14" s="56">
        <f ca="1">'[8]Total Distance Tables'!G89</f>
        <v>33.954032166468998</v>
      </c>
      <c r="N14" s="56">
        <f ca="1">'[8]Total Distance Tables'!H89</f>
        <v>32.756684150479373</v>
      </c>
      <c r="O14" s="56">
        <f ca="1">'[8]Total Distance Tables'!I89</f>
        <v>32.839564333031817</v>
      </c>
      <c r="P14" s="56">
        <f ca="1">'[8]Total Distance Tables'!J89</f>
        <v>32.834973855708611</v>
      </c>
      <c r="Q14" s="57">
        <f ca="1">'[8]Total Distance Tables'!K89</f>
        <v>32.777518197967972</v>
      </c>
    </row>
    <row r="15" spans="3:17" ht="15.5" x14ac:dyDescent="0.35">
      <c r="C15" s="24" t="s">
        <v>8</v>
      </c>
      <c r="D15" s="55">
        <f ca="1">'[8]Total Distance Tables'!$B$100</f>
        <v>164.37</v>
      </c>
      <c r="E15" s="56">
        <f t="shared" ca="1" si="0"/>
        <v>166.37511756803477</v>
      </c>
      <c r="F15" s="56">
        <f t="shared" ca="1" si="1"/>
        <v>168.38023513606953</v>
      </c>
      <c r="G15" s="56">
        <f t="shared" ca="1" si="2"/>
        <v>170.38535270410426</v>
      </c>
      <c r="H15" s="56">
        <f t="shared" ca="1" si="3"/>
        <v>172.39047027213903</v>
      </c>
      <c r="I15" s="56">
        <f ca="1">'[8]Total Distance Tables'!C100</f>
        <v>174.39558784017379</v>
      </c>
      <c r="J15" s="56">
        <f ca="1">'[8]Total Distance Tables'!D100</f>
        <v>197.20907957759067</v>
      </c>
      <c r="K15" s="56">
        <f ca="1">'[8]Total Distance Tables'!E100</f>
        <v>213.21414160503357</v>
      </c>
      <c r="L15" s="56">
        <f ca="1">'[8]Total Distance Tables'!F100</f>
        <v>219.84479072405438</v>
      </c>
      <c r="M15" s="56">
        <f ca="1">'[8]Total Distance Tables'!G100</f>
        <v>226.62148035142309</v>
      </c>
      <c r="N15" s="56">
        <f ca="1">'[8]Total Distance Tables'!H100</f>
        <v>233.37796432273598</v>
      </c>
      <c r="O15" s="56">
        <f ca="1">'[8]Total Distance Tables'!I100</f>
        <v>242.98699116711211</v>
      </c>
      <c r="P15" s="56">
        <f ca="1">'[8]Total Distance Tables'!J100</f>
        <v>253.03235921202543</v>
      </c>
      <c r="Q15" s="57">
        <f ca="1">'[8]Total Distance Tables'!K100</f>
        <v>263.5570054908315</v>
      </c>
    </row>
    <row r="16" spans="3:17" ht="15.5" x14ac:dyDescent="0.35">
      <c r="C16" s="24" t="s">
        <v>9</v>
      </c>
      <c r="D16" s="55">
        <f ca="1">'[8]Total Distance Tables'!$B$111</f>
        <v>19.807462209000001</v>
      </c>
      <c r="E16" s="56">
        <f t="shared" ca="1" si="0"/>
        <v>19.635722774206211</v>
      </c>
      <c r="F16" s="56">
        <f t="shared" ca="1" si="1"/>
        <v>19.463983339412426</v>
      </c>
      <c r="G16" s="56">
        <f t="shared" ca="1" si="2"/>
        <v>19.292243904618637</v>
      </c>
      <c r="H16" s="56">
        <f t="shared" ca="1" si="3"/>
        <v>19.120504469824851</v>
      </c>
      <c r="I16" s="56">
        <f ca="1">'[8]Total Distance Tables'!C111</f>
        <v>18.948765035031066</v>
      </c>
      <c r="J16" s="56">
        <f ca="1">'[8]Total Distance Tables'!D111</f>
        <v>18.372430032514472</v>
      </c>
      <c r="K16" s="56">
        <f ca="1">'[8]Total Distance Tables'!E111</f>
        <v>17.966459532342324</v>
      </c>
      <c r="L16" s="56">
        <f ca="1">'[8]Total Distance Tables'!F111</f>
        <v>17.247579930548739</v>
      </c>
      <c r="M16" s="56">
        <f ca="1">'[8]Total Distance Tables'!G111</f>
        <v>16.700264375469462</v>
      </c>
      <c r="N16" s="56">
        <f ca="1">'[8]Total Distance Tables'!H111</f>
        <v>16.076912781427286</v>
      </c>
      <c r="O16" s="56">
        <f ca="1">'[8]Total Distance Tables'!I111</f>
        <v>16.075218724306936</v>
      </c>
      <c r="P16" s="56">
        <f ca="1">'[8]Total Distance Tables'!J111</f>
        <v>16.022508855740892</v>
      </c>
      <c r="Q16" s="57">
        <f ca="1">'[8]Total Distance Tables'!K111</f>
        <v>15.935781271453241</v>
      </c>
    </row>
    <row r="17" spans="3:17" ht="15.5" x14ac:dyDescent="0.35">
      <c r="C17" s="24" t="s">
        <v>10</v>
      </c>
      <c r="D17" s="55">
        <f ca="1">'[8]Total Distance Tables'!$B$122</f>
        <v>6.0600083682000001</v>
      </c>
      <c r="E17" s="56">
        <f t="shared" ca="1" si="0"/>
        <v>5.9370538077465644</v>
      </c>
      <c r="F17" s="56">
        <f t="shared" ca="1" si="1"/>
        <v>5.8140992472931288</v>
      </c>
      <c r="G17" s="56">
        <f t="shared" ca="1" si="2"/>
        <v>5.6911446868396931</v>
      </c>
      <c r="H17" s="56">
        <f t="shared" ca="1" si="3"/>
        <v>5.5681901263862574</v>
      </c>
      <c r="I17" s="56">
        <f ca="1">'[8]Total Distance Tables'!C122</f>
        <v>5.4452355659328209</v>
      </c>
      <c r="J17" s="56">
        <f ca="1">'[8]Total Distance Tables'!D122</f>
        <v>5.1249400771646423</v>
      </c>
      <c r="K17" s="56">
        <f ca="1">'[8]Total Distance Tables'!E122</f>
        <v>4.8729888521454354</v>
      </c>
      <c r="L17" s="56">
        <f ca="1">'[8]Total Distance Tables'!F122</f>
        <v>4.5505152764440666</v>
      </c>
      <c r="M17" s="56">
        <f ca="1">'[8]Total Distance Tables'!G122</f>
        <v>4.2882673313873259</v>
      </c>
      <c r="N17" s="56">
        <f ca="1">'[8]Total Distance Tables'!H122</f>
        <v>4.0283597735154988</v>
      </c>
      <c r="O17" s="56">
        <f ca="1">'[8]Total Distance Tables'!I122</f>
        <v>3.9303307184781087</v>
      </c>
      <c r="P17" s="56">
        <f ca="1">'[8]Total Distance Tables'!J122</f>
        <v>3.8223357459036786</v>
      </c>
      <c r="Q17" s="57">
        <f ca="1">'[8]Total Distance Tables'!K122</f>
        <v>3.7091743915263335</v>
      </c>
    </row>
    <row r="18" spans="3:17" ht="15.5" x14ac:dyDescent="0.35">
      <c r="C18" s="24" t="s">
        <v>11</v>
      </c>
      <c r="D18" s="55">
        <f ca="1">'[8]Total Distance Tables'!$B$133</f>
        <v>174.53993166999999</v>
      </c>
      <c r="E18" s="56">
        <f t="shared" ca="1" si="0"/>
        <v>175.313490242</v>
      </c>
      <c r="F18" s="56">
        <f t="shared" ca="1" si="1"/>
        <v>176.08704881399998</v>
      </c>
      <c r="G18" s="56">
        <f t="shared" ca="1" si="2"/>
        <v>176.860607386</v>
      </c>
      <c r="H18" s="56">
        <f t="shared" ca="1" si="3"/>
        <v>177.63416595799998</v>
      </c>
      <c r="I18" s="56">
        <f ca="1">'[8]Total Distance Tables'!C133</f>
        <v>178.40772453</v>
      </c>
      <c r="J18" s="56">
        <f ca="1">'[8]Total Distance Tables'!D133</f>
        <v>176.99843539</v>
      </c>
      <c r="K18" s="56">
        <f ca="1">'[8]Total Distance Tables'!E133</f>
        <v>177.62065634000001</v>
      </c>
      <c r="L18" s="56">
        <f ca="1">'[8]Total Distance Tables'!F133</f>
        <v>174.22242717</v>
      </c>
      <c r="M18" s="56">
        <f ca="1">'[8]Total Distance Tables'!G133</f>
        <v>170.48597458</v>
      </c>
      <c r="N18" s="56">
        <f ca="1">'[8]Total Distance Tables'!H133</f>
        <v>166.02331469000001</v>
      </c>
      <c r="O18" s="56">
        <f ca="1">'[8]Total Distance Tables'!I133</f>
        <v>166.02331469000001</v>
      </c>
      <c r="P18" s="56">
        <f ca="1">'[8]Total Distance Tables'!J133</f>
        <v>166.02331469000001</v>
      </c>
      <c r="Q18" s="57">
        <f ca="1">'[8]Total Distance Tables'!K133</f>
        <v>166.02331469000001</v>
      </c>
    </row>
    <row r="19" spans="3:17" ht="15.5" x14ac:dyDescent="0.35">
      <c r="C19" s="24" t="s">
        <v>12</v>
      </c>
      <c r="D19" s="55">
        <f ca="1">'[8]Total Distance Tables'!$B$144</f>
        <v>27.157477096000001</v>
      </c>
      <c r="E19" s="56">
        <f t="shared" ca="1" si="0"/>
        <v>27.276761828298444</v>
      </c>
      <c r="F19" s="56">
        <f t="shared" ca="1" si="1"/>
        <v>27.396046560596886</v>
      </c>
      <c r="G19" s="56">
        <f t="shared" ca="1" si="2"/>
        <v>27.515331292895326</v>
      </c>
      <c r="H19" s="56">
        <f t="shared" ca="1" si="3"/>
        <v>27.634616025193772</v>
      </c>
      <c r="I19" s="56">
        <f ca="1">'[8]Total Distance Tables'!C144</f>
        <v>27.753900757492215</v>
      </c>
      <c r="J19" s="56">
        <f ca="1">'[8]Total Distance Tables'!D144</f>
        <v>28.050936671330035</v>
      </c>
      <c r="K19" s="56">
        <f ca="1">'[8]Total Distance Tables'!E144</f>
        <v>28.217862016998353</v>
      </c>
      <c r="L19" s="56">
        <f ca="1">'[8]Total Distance Tables'!F144</f>
        <v>27.862725992989024</v>
      </c>
      <c r="M19" s="56">
        <f ca="1">'[8]Total Distance Tables'!G144</f>
        <v>27.749982995584222</v>
      </c>
      <c r="N19" s="56">
        <f ca="1">'[8]Total Distance Tables'!H144</f>
        <v>27.527392625893754</v>
      </c>
      <c r="O19" s="56">
        <f ca="1">'[8]Total Distance Tables'!I144</f>
        <v>28.36198222416359</v>
      </c>
      <c r="P19" s="56">
        <f ca="1">'[8]Total Distance Tables'!J144</f>
        <v>29.1288966473222</v>
      </c>
      <c r="Q19" s="57">
        <f ca="1">'[8]Total Distance Tables'!K144</f>
        <v>29.852418239575073</v>
      </c>
    </row>
    <row r="20" spans="3:17" ht="16" thickBot="1" x14ac:dyDescent="0.4">
      <c r="C20" s="25" t="s">
        <v>13</v>
      </c>
      <c r="D20" s="58">
        <f ca="1">'[8]Total Distance Tables'!$B$155</f>
        <v>30.182609224</v>
      </c>
      <c r="E20" s="59">
        <f t="shared" ca="1" si="0"/>
        <v>29.837253246822868</v>
      </c>
      <c r="F20" s="59">
        <f t="shared" ca="1" si="1"/>
        <v>29.491897269645737</v>
      </c>
      <c r="G20" s="59">
        <f t="shared" ca="1" si="2"/>
        <v>29.146541292468605</v>
      </c>
      <c r="H20" s="59">
        <f t="shared" ca="1" si="3"/>
        <v>28.801185315291477</v>
      </c>
      <c r="I20" s="59">
        <f ca="1">'[8]Total Distance Tables'!C155</f>
        <v>28.455829338114345</v>
      </c>
      <c r="J20" s="59">
        <f ca="1">'[8]Total Distance Tables'!D155</f>
        <v>27.025004329044116</v>
      </c>
      <c r="K20" s="59">
        <f ca="1">'[8]Total Distance Tables'!E155</f>
        <v>25.984666073803744</v>
      </c>
      <c r="L20" s="59">
        <f ca="1">'[8]Total Distance Tables'!F155</f>
        <v>24.569376654564511</v>
      </c>
      <c r="M20" s="59">
        <f ca="1">'[8]Total Distance Tables'!G155</f>
        <v>23.456530643287209</v>
      </c>
      <c r="N20" s="59">
        <f ca="1">'[8]Total Distance Tables'!H155</f>
        <v>22.313530073349639</v>
      </c>
      <c r="O20" s="59">
        <f ca="1">'[8]Total Distance Tables'!I155</f>
        <v>22.045869554762486</v>
      </c>
      <c r="P20" s="59">
        <f ca="1">'[8]Total Distance Tables'!J155</f>
        <v>21.711262350552609</v>
      </c>
      <c r="Q20" s="60">
        <f ca="1">'[8]Total Distance Tables'!K155</f>
        <v>21.334948639202143</v>
      </c>
    </row>
    <row r="21" spans="3:17" ht="16.5" thickTop="1" thickBot="1" x14ac:dyDescent="0.4">
      <c r="C21" s="31" t="s">
        <v>24</v>
      </c>
      <c r="D21" s="61">
        <f t="shared" ref="D21:N21" ca="1" si="4">SUM(D7:D20)</f>
        <v>1110.9386781444002</v>
      </c>
      <c r="E21" s="62">
        <f t="shared" ca="1" si="4"/>
        <v>1117.9683743881176</v>
      </c>
      <c r="F21" s="62">
        <f t="shared" ca="1" si="4"/>
        <v>1124.9980706318349</v>
      </c>
      <c r="G21" s="62">
        <f t="shared" ca="1" si="4"/>
        <v>1132.0277668755525</v>
      </c>
      <c r="H21" s="62">
        <f t="shared" ca="1" si="4"/>
        <v>1139.0574631192699</v>
      </c>
      <c r="I21" s="62">
        <f t="shared" ca="1" si="4"/>
        <v>1146.0871593629872</v>
      </c>
      <c r="J21" s="62">
        <f t="shared" ca="1" si="4"/>
        <v>1307.2165924637532</v>
      </c>
      <c r="K21" s="62">
        <f t="shared" ca="1" si="4"/>
        <v>1440.4911700913476</v>
      </c>
      <c r="L21" s="62">
        <f t="shared" ca="1" si="4"/>
        <v>1484.8692098142624</v>
      </c>
      <c r="M21" s="62">
        <f t="shared" ca="1" si="4"/>
        <v>1523.4869116328862</v>
      </c>
      <c r="N21" s="62">
        <f t="shared" ca="1" si="4"/>
        <v>1553.4065219880929</v>
      </c>
      <c r="O21" s="62">
        <f t="shared" ref="O21:Q21" ca="1" si="5">SUM(O7:O20)</f>
        <v>1636.8995055177097</v>
      </c>
      <c r="P21" s="62">
        <f t="shared" ca="1" si="5"/>
        <v>1722.9102947078072</v>
      </c>
      <c r="Q21" s="63">
        <f t="shared" ca="1" si="5"/>
        <v>1814.88037382327</v>
      </c>
    </row>
    <row r="22" spans="3:17" ht="16.5" thickTop="1" thickBot="1" x14ac:dyDescent="0.4">
      <c r="C22" s="8" t="s">
        <v>35</v>
      </c>
      <c r="D22" s="200">
        <f ca="1">'[8]Total Distance Tables'!$B$166</f>
        <v>1110.9386781444002</v>
      </c>
      <c r="E22" s="200">
        <f ca="1">D22*4/5 + I22/5</f>
        <v>1117.9683743881176</v>
      </c>
      <c r="F22" s="200">
        <f ca="1">D22*3/5+I22*2/5</f>
        <v>1124.9980706318352</v>
      </c>
      <c r="G22" s="200">
        <f ca="1">D22*2/5+I22*3/5</f>
        <v>1132.0277668755525</v>
      </c>
      <c r="H22" s="200">
        <f ca="1">D22/5+I22*4/5</f>
        <v>1139.0574631192699</v>
      </c>
      <c r="I22" s="200">
        <f ca="1">'[8]Total Distance Tables'!C$166</f>
        <v>1146.0871593629872</v>
      </c>
      <c r="J22" s="200">
        <f ca="1">'[8]Total Distance Tables'!D$166</f>
        <v>1307.2165924637532</v>
      </c>
      <c r="K22" s="200">
        <f ca="1">'[8]Total Distance Tables'!E$166</f>
        <v>1440.4911700913476</v>
      </c>
      <c r="L22" s="200">
        <f ca="1">'[8]Total Distance Tables'!F$166</f>
        <v>1484.8692098142624</v>
      </c>
      <c r="M22" s="200">
        <f ca="1">'[8]Total Distance Tables'!G$166</f>
        <v>1523.4869116328862</v>
      </c>
      <c r="N22" s="200">
        <f ca="1">'[8]Total Distance Tables'!H$166</f>
        <v>1553.4065219880929</v>
      </c>
      <c r="O22" s="200">
        <f ca="1">'[8]Total Distance Tables'!I$166</f>
        <v>1636.8995055177097</v>
      </c>
      <c r="P22" s="200">
        <f ca="1">'[8]Total Distance Tables'!J$166</f>
        <v>1722.9102947078072</v>
      </c>
      <c r="Q22" s="201">
        <f ca="1">'[8]Total Distance Tables'!K$166</f>
        <v>1814.88037382327</v>
      </c>
    </row>
    <row r="23" spans="3:17" ht="13" thickTop="1" x14ac:dyDescent="0.25"/>
    <row r="24" spans="3:17" ht="13" thickBot="1" x14ac:dyDescent="0.3"/>
    <row r="25" spans="3:17" ht="16.5" thickTop="1" thickBot="1" x14ac:dyDescent="0.4">
      <c r="C25" s="111" t="s">
        <v>66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3"/>
    </row>
    <row r="26" spans="3:17" ht="14" thickTop="1" thickBot="1" x14ac:dyDescent="0.35">
      <c r="C26" s="70"/>
      <c r="D26" s="71" t="s">
        <v>25</v>
      </c>
      <c r="E26" s="71" t="s">
        <v>37</v>
      </c>
      <c r="F26" s="71" t="s">
        <v>38</v>
      </c>
      <c r="G26" s="37" t="s">
        <v>177</v>
      </c>
      <c r="H26" s="37" t="s">
        <v>178</v>
      </c>
      <c r="I26" s="71" t="s">
        <v>26</v>
      </c>
      <c r="J26" s="71" t="s">
        <v>27</v>
      </c>
      <c r="K26" s="71" t="s">
        <v>28</v>
      </c>
      <c r="L26" s="71" t="s">
        <v>29</v>
      </c>
      <c r="M26" s="71" t="s">
        <v>30</v>
      </c>
      <c r="N26" s="71" t="s">
        <v>31</v>
      </c>
      <c r="O26" s="37" t="s">
        <v>174</v>
      </c>
      <c r="P26" s="37" t="s">
        <v>175</v>
      </c>
      <c r="Q26" s="38" t="s">
        <v>176</v>
      </c>
    </row>
    <row r="27" spans="3:17" ht="32" thickTop="1" thickBot="1" x14ac:dyDescent="0.4">
      <c r="C27" s="64" t="s">
        <v>36</v>
      </c>
      <c r="D27" s="67"/>
      <c r="E27" s="34"/>
      <c r="F27" s="34"/>
      <c r="G27" s="34"/>
      <c r="H27" s="34"/>
      <c r="I27" s="68"/>
      <c r="J27" s="68"/>
      <c r="K27" s="68"/>
      <c r="L27" s="68"/>
      <c r="M27" s="68"/>
      <c r="N27" s="68"/>
      <c r="O27" s="68"/>
      <c r="P27" s="68"/>
      <c r="Q27" s="69"/>
    </row>
    <row r="28" spans="3:17" ht="16.5" thickTop="1" thickBot="1" x14ac:dyDescent="0.4">
      <c r="C28" s="64" t="s">
        <v>24</v>
      </c>
      <c r="D28" s="76">
        <f>[10]Tourism!B$33/[10]Tourism!$B$33</f>
        <v>1</v>
      </c>
      <c r="E28" s="77">
        <f>[10]Tourism!C$33/[10]Tourism!$B$33</f>
        <v>1.0754480581167112</v>
      </c>
      <c r="F28" s="77">
        <f>[10]Tourism!D$33/[10]Tourism!$B$33</f>
        <v>1.1642440606181792</v>
      </c>
      <c r="G28" s="77">
        <f>[10]Tourism!E$33/[10]Tourism!$B$33</f>
        <v>1.2647536898745191</v>
      </c>
      <c r="H28" s="77">
        <f>[10]Tourism!F$33/[10]Tourism!$B$33</f>
        <v>1.3415586269476873</v>
      </c>
      <c r="I28" s="77">
        <f>[10]Tourism!G$33/[10]Tourism!$B$33</f>
        <v>1.4037066206346545</v>
      </c>
      <c r="J28" s="77">
        <f>[10]Tourism!H$33/[10]Tourism!$B$33</f>
        <v>1.7955035054981192</v>
      </c>
      <c r="K28" s="77">
        <f>[10]Tourism!I$33/[10]Tourism!$B$33</f>
        <v>2.1324256698425139</v>
      </c>
      <c r="L28" s="77">
        <f>[10]Tourism!J$33/[10]Tourism!$B$33</f>
        <v>2.4720657944202382</v>
      </c>
      <c r="M28" s="77">
        <f>[10]Tourism!K$33/[10]Tourism!$B$33</f>
        <v>2.8658017854352162</v>
      </c>
      <c r="N28" s="77">
        <f>[10]Tourism!L$33/[10]Tourism!$B$33</f>
        <v>3.3222497119376984</v>
      </c>
      <c r="O28" s="77">
        <f>[10]Tourism!M$33/[10]Tourism!$B$33</f>
        <v>3.8513979594000167</v>
      </c>
      <c r="P28" s="77">
        <f>[10]Tourism!N$33/[10]Tourism!$B$33</f>
        <v>4.4648258041443629</v>
      </c>
      <c r="Q28" s="78">
        <f>[10]Tourism!O$33/[10]Tourism!$B$33</f>
        <v>5.1759568010102113</v>
      </c>
    </row>
    <row r="29" spans="3:17" ht="13" thickTop="1" x14ac:dyDescent="0.25"/>
    <row r="32" spans="3:17" ht="13" thickBot="1" x14ac:dyDescent="0.3"/>
    <row r="33" spans="3:10" s="110" customFormat="1" ht="16.5" thickTop="1" thickBot="1" x14ac:dyDescent="0.4">
      <c r="C33" s="111" t="s">
        <v>91</v>
      </c>
      <c r="D33" s="114"/>
      <c r="E33" s="114"/>
      <c r="F33" s="114"/>
      <c r="G33" s="114"/>
      <c r="H33" s="114"/>
      <c r="I33" s="114"/>
      <c r="J33" s="115"/>
    </row>
    <row r="34" spans="3:10" ht="79" thickTop="1" thickBot="1" x14ac:dyDescent="0.35">
      <c r="C34" s="70"/>
      <c r="D34" s="108" t="s">
        <v>78</v>
      </c>
      <c r="E34" s="108" t="s">
        <v>81</v>
      </c>
      <c r="F34" s="108" t="s">
        <v>82</v>
      </c>
      <c r="G34" s="108" t="s">
        <v>85</v>
      </c>
      <c r="H34" s="108" t="s">
        <v>87</v>
      </c>
      <c r="I34" s="108" t="s">
        <v>90</v>
      </c>
      <c r="J34" s="109" t="s">
        <v>92</v>
      </c>
    </row>
    <row r="35" spans="3:10" ht="16" thickTop="1" x14ac:dyDescent="0.35">
      <c r="C35" s="24" t="s">
        <v>0</v>
      </c>
      <c r="D35" s="43">
        <v>391751</v>
      </c>
      <c r="E35" s="43">
        <f>'Scaled 2014-15 Data'!F6*1000000</f>
        <v>11633802.891815146</v>
      </c>
      <c r="F35" s="116">
        <f t="shared" ref="F35:F49" si="6">D35/E35</f>
        <v>3.3673511889703134E-2</v>
      </c>
      <c r="G35" s="56">
        <v>0.31</v>
      </c>
      <c r="H35" s="56">
        <f ca="1">'[8]Total Trip Tables'!$B$12</f>
        <v>3.6339219343</v>
      </c>
      <c r="I35" s="117">
        <f t="shared" ref="I35:I49" ca="1" si="7">F35*H35/G35</f>
        <v>0.39473197890614214</v>
      </c>
      <c r="J35" s="119">
        <f ca="1">IF(I35&gt;0.5,0.5,I35)</f>
        <v>0.39473197890614214</v>
      </c>
    </row>
    <row r="36" spans="3:10" ht="15.5" x14ac:dyDescent="0.35">
      <c r="C36" s="24" t="s">
        <v>1</v>
      </c>
      <c r="D36" s="43">
        <v>48631594</v>
      </c>
      <c r="E36" s="43">
        <f>'Scaled 2014-15 Data'!F7*1000000</f>
        <v>89958725.264677346</v>
      </c>
      <c r="F36" s="116">
        <f t="shared" si="6"/>
        <v>0.54059896754779146</v>
      </c>
      <c r="G36" s="56">
        <v>53.53</v>
      </c>
      <c r="H36" s="56">
        <f ca="1">'[8]Total Trip Tables'!$B$23</f>
        <v>53.530078000000003</v>
      </c>
      <c r="I36" s="116">
        <f t="shared" ca="1" si="7"/>
        <v>0.54059975526905935</v>
      </c>
      <c r="J36" s="120">
        <f t="shared" ref="J36:J49" ca="1" si="8">IF(I36&gt;0.5,0.5,I36)</f>
        <v>0.5</v>
      </c>
    </row>
    <row r="37" spans="3:10" ht="15.5" x14ac:dyDescent="0.35">
      <c r="C37" s="24" t="s">
        <v>2</v>
      </c>
      <c r="D37" s="43">
        <v>5718423</v>
      </c>
      <c r="E37" s="43">
        <f>'Scaled 2014-15 Data'!F8*1000000</f>
        <v>20835262.851845872</v>
      </c>
      <c r="F37" s="116">
        <f t="shared" si="6"/>
        <v>0.27445888447207106</v>
      </c>
      <c r="G37" s="56">
        <v>5.04</v>
      </c>
      <c r="H37" s="56">
        <f ca="1">'[8]Total Trip Tables'!$B$34</f>
        <v>5.7199103379</v>
      </c>
      <c r="I37" s="116">
        <f t="shared" ca="1" si="7"/>
        <v>0.31148416877386925</v>
      </c>
      <c r="J37" s="120">
        <f t="shared" ca="1" si="8"/>
        <v>0.31148416877386925</v>
      </c>
    </row>
    <row r="38" spans="3:10" ht="15.5" x14ac:dyDescent="0.35">
      <c r="C38" s="27" t="s">
        <v>3</v>
      </c>
      <c r="D38" s="42">
        <v>5504912</v>
      </c>
      <c r="E38" s="43">
        <f>'Scaled 2014-15 Data'!F9*1000000</f>
        <v>14472403.850445561</v>
      </c>
      <c r="F38" s="116">
        <f t="shared" si="6"/>
        <v>0.38037302281545443</v>
      </c>
      <c r="G38" s="56">
        <v>2.85</v>
      </c>
      <c r="H38" s="56">
        <f ca="1">'[8]Total Trip Tables'!$B$45</f>
        <v>7.4672006229000001</v>
      </c>
      <c r="I38" s="116">
        <f t="shared" ca="1" si="7"/>
        <v>0.99660409575505859</v>
      </c>
      <c r="J38" s="120">
        <f t="shared" ca="1" si="8"/>
        <v>0.5</v>
      </c>
    </row>
    <row r="39" spans="3:10" ht="15.5" x14ac:dyDescent="0.35">
      <c r="C39" s="24" t="s">
        <v>4</v>
      </c>
      <c r="D39" s="43">
        <v>103512</v>
      </c>
      <c r="E39" s="43">
        <f>'Scaled 2014-15 Data'!F10*1000000</f>
        <v>2005171.3428473193</v>
      </c>
      <c r="F39" s="116">
        <f t="shared" si="6"/>
        <v>5.1622521122316758E-2</v>
      </c>
      <c r="G39" s="56">
        <v>0.16</v>
      </c>
      <c r="H39" s="56">
        <f ca="1">'[8]Total Trip Tables'!$B$56</f>
        <v>0.39415976190000002</v>
      </c>
      <c r="I39" s="116">
        <f t="shared" ca="1" si="7"/>
        <v>0.12717200396406309</v>
      </c>
      <c r="J39" s="120">
        <f t="shared" ca="1" si="8"/>
        <v>0.12717200396406309</v>
      </c>
    </row>
    <row r="40" spans="3:10" ht="15.5" x14ac:dyDescent="0.35">
      <c r="C40" s="24" t="s">
        <v>5</v>
      </c>
      <c r="D40" s="43">
        <v>932537</v>
      </c>
      <c r="E40" s="43">
        <f>'Scaled 2014-15 Data'!F11*1000000</f>
        <v>5469638.1884381389</v>
      </c>
      <c r="F40" s="116">
        <f t="shared" si="6"/>
        <v>0.17049336132894868</v>
      </c>
      <c r="G40" s="56">
        <v>0.76</v>
      </c>
      <c r="H40" s="56">
        <f ca="1">'[8]Total Trip Tables'!$B$67</f>
        <v>4.5218645043999999</v>
      </c>
      <c r="I40" s="116">
        <f t="shared" ca="1" si="7"/>
        <v>1.0144051037226536</v>
      </c>
      <c r="J40" s="120">
        <f t="shared" ca="1" si="8"/>
        <v>0.5</v>
      </c>
    </row>
    <row r="41" spans="3:10" ht="15.5" x14ac:dyDescent="0.35">
      <c r="C41" s="24" t="s">
        <v>6</v>
      </c>
      <c r="D41" s="43">
        <v>627854</v>
      </c>
      <c r="E41" s="43">
        <f>'Scaled 2014-15 Data'!F12*1000000</f>
        <v>3811705.9405101812</v>
      </c>
      <c r="F41" s="116">
        <f t="shared" si="6"/>
        <v>0.16471732337147821</v>
      </c>
      <c r="G41" s="56">
        <v>0.56000000000000005</v>
      </c>
      <c r="H41" s="56">
        <f ca="1">'[8]Total Trip Tables'!$B$78</f>
        <v>1.2787514622</v>
      </c>
      <c r="I41" s="116">
        <f t="shared" ca="1" si="7"/>
        <v>0.37612949662669282</v>
      </c>
      <c r="J41" s="120">
        <f t="shared" ca="1" si="8"/>
        <v>0.37612949662669282</v>
      </c>
    </row>
    <row r="42" spans="3:10" ht="15.5" x14ac:dyDescent="0.35">
      <c r="C42" s="24" t="s">
        <v>7</v>
      </c>
      <c r="D42" s="43">
        <v>1394002</v>
      </c>
      <c r="E42" s="43">
        <f>'Scaled 2014-15 Data'!F13*1000000</f>
        <v>8825299.9028763361</v>
      </c>
      <c r="F42" s="116">
        <f t="shared" si="6"/>
        <v>0.15795519872878969</v>
      </c>
      <c r="G42" s="56">
        <v>1.62</v>
      </c>
      <c r="H42" s="56">
        <f ca="1">'[8]Total Trip Tables'!$B$89</f>
        <v>5.2110099151</v>
      </c>
      <c r="I42" s="116">
        <f t="shared" ca="1" si="7"/>
        <v>0.50809018933167527</v>
      </c>
      <c r="J42" s="120">
        <f t="shared" ca="1" si="8"/>
        <v>0.5</v>
      </c>
    </row>
    <row r="43" spans="3:10" ht="15.5" x14ac:dyDescent="0.35">
      <c r="C43" s="24" t="s">
        <v>8</v>
      </c>
      <c r="D43" s="43">
        <v>16754976</v>
      </c>
      <c r="E43" s="43">
        <f>'Scaled 2014-15 Data'!F14*1000000</f>
        <v>22689049.401236158</v>
      </c>
      <c r="F43" s="116">
        <f t="shared" si="6"/>
        <v>0.73846090700860945</v>
      </c>
      <c r="G43" s="56">
        <v>23.61</v>
      </c>
      <c r="H43" s="56">
        <f ca="1">'[8]Total Trip Tables'!$B$100</f>
        <v>23.4</v>
      </c>
      <c r="I43" s="116">
        <f t="shared" ca="1" si="7"/>
        <v>0.73189263972899032</v>
      </c>
      <c r="J43" s="120">
        <f ca="1">I43</f>
        <v>0.73189263972899032</v>
      </c>
    </row>
    <row r="44" spans="3:10" ht="15.5" x14ac:dyDescent="0.35">
      <c r="C44" s="24" t="s">
        <v>9</v>
      </c>
      <c r="D44" s="43">
        <f>43590+424876</f>
        <v>468466</v>
      </c>
      <c r="E44" s="43">
        <f>'Scaled 2014-15 Data'!F15*1000000</f>
        <v>6473415.744153453</v>
      </c>
      <c r="F44" s="116">
        <f t="shared" si="6"/>
        <v>7.2367667783905423E-2</v>
      </c>
      <c r="G44" s="56">
        <v>0.38</v>
      </c>
      <c r="H44" s="56">
        <f ca="1">'[8]Total Trip Tables'!$B$111</f>
        <v>2.0764681202999999</v>
      </c>
      <c r="I44" s="116">
        <f t="shared" ca="1" si="7"/>
        <v>0.39544514498352878</v>
      </c>
      <c r="J44" s="120">
        <f t="shared" ca="1" si="8"/>
        <v>0.39544514498352878</v>
      </c>
    </row>
    <row r="45" spans="3:10" ht="15.5" x14ac:dyDescent="0.35">
      <c r="C45" s="24" t="s">
        <v>10</v>
      </c>
      <c r="D45" s="43">
        <v>69700</v>
      </c>
      <c r="E45" s="43">
        <f>'Scaled 2014-15 Data'!F16*1000000</f>
        <v>3823787.5581235588</v>
      </c>
      <c r="F45" s="116">
        <f t="shared" si="6"/>
        <v>1.822800010213009E-2</v>
      </c>
      <c r="G45" s="56">
        <v>0.04</v>
      </c>
      <c r="H45" s="56">
        <f ca="1">'[8]Total Trip Tables'!$B$122</f>
        <v>0.50805546800000001</v>
      </c>
      <c r="I45" s="116">
        <f t="shared" ca="1" si="7"/>
        <v>0.23152087806479377</v>
      </c>
      <c r="J45" s="120">
        <f t="shared" ca="1" si="8"/>
        <v>0.23152087806479377</v>
      </c>
    </row>
    <row r="46" spans="3:10" ht="15.5" x14ac:dyDescent="0.35">
      <c r="C46" s="24" t="s">
        <v>11</v>
      </c>
      <c r="D46" s="43">
        <v>17264677</v>
      </c>
      <c r="E46" s="43">
        <f>'Scaled 2014-15 Data'!F17*1000000</f>
        <v>46029365.3129538</v>
      </c>
      <c r="F46" s="116">
        <f t="shared" si="6"/>
        <v>0.37507962324958005</v>
      </c>
      <c r="G46" s="56">
        <v>13.42</v>
      </c>
      <c r="H46" s="56">
        <f ca="1">'[8]Total Trip Tables'!$B$133</f>
        <v>20.502079716000001</v>
      </c>
      <c r="I46" s="116">
        <f t="shared" ca="1" si="7"/>
        <v>0.57301880295902663</v>
      </c>
      <c r="J46" s="120">
        <f t="shared" ca="1" si="8"/>
        <v>0.5</v>
      </c>
    </row>
    <row r="47" spans="3:10" ht="15.5" x14ac:dyDescent="0.35">
      <c r="C47" s="24" t="s">
        <v>12</v>
      </c>
      <c r="D47" s="43">
        <v>3825319</v>
      </c>
      <c r="E47" s="43">
        <f>'Scaled 2014-15 Data'!F18*1000000</f>
        <v>20014483.270765375</v>
      </c>
      <c r="F47" s="116">
        <f t="shared" si="6"/>
        <v>0.1911275424026331</v>
      </c>
      <c r="G47" s="56">
        <v>2.93</v>
      </c>
      <c r="H47" s="56">
        <f ca="1">'[8]Total Trip Tables'!$B$144</f>
        <v>4.2627057848999996</v>
      </c>
      <c r="I47" s="116">
        <f t="shared" ca="1" si="7"/>
        <v>0.2780615974926362</v>
      </c>
      <c r="J47" s="120">
        <f t="shared" ca="1" si="8"/>
        <v>0.2780615974926362</v>
      </c>
    </row>
    <row r="48" spans="3:10" ht="16" thickBot="1" x14ac:dyDescent="0.4">
      <c r="C48" s="25" t="s">
        <v>13</v>
      </c>
      <c r="D48" s="43">
        <v>306692</v>
      </c>
      <c r="E48" s="43">
        <f>'Scaled 2014-15 Data'!F19*1000000</f>
        <v>7479147.8762437496</v>
      </c>
      <c r="F48" s="116">
        <f t="shared" si="6"/>
        <v>4.100627572482627E-2</v>
      </c>
      <c r="G48" s="56">
        <v>0.31</v>
      </c>
      <c r="H48" s="56">
        <f ca="1">'[8]Total Trip Tables'!$B$155</f>
        <v>2.6369167839999998</v>
      </c>
      <c r="I48" s="116">
        <f t="shared" ca="1" si="7"/>
        <v>0.3488068926068586</v>
      </c>
      <c r="J48" s="120">
        <f t="shared" ca="1" si="8"/>
        <v>0.3488068926068586</v>
      </c>
    </row>
    <row r="49" spans="2:10" ht="16.5" thickTop="1" thickBot="1" x14ac:dyDescent="0.4">
      <c r="C49" s="31" t="s">
        <v>24</v>
      </c>
      <c r="D49" s="43">
        <f>SUM(D35:D48)</f>
        <v>101994415</v>
      </c>
      <c r="E49" s="43">
        <f>SUM(E35:E48)</f>
        <v>263521259.39693198</v>
      </c>
      <c r="F49" s="116">
        <f t="shared" si="6"/>
        <v>0.38704435169069118</v>
      </c>
      <c r="G49" s="56">
        <f>SUM(G35:G48)</f>
        <v>105.52000000000001</v>
      </c>
      <c r="H49" s="56">
        <f ca="1">SUM(H35:H48)</f>
        <v>135.14312241190001</v>
      </c>
      <c r="I49" s="116">
        <f t="shared" ca="1" si="7"/>
        <v>0.49570112016081835</v>
      </c>
      <c r="J49" s="120">
        <f t="shared" ca="1" si="8"/>
        <v>0.49570112016081835</v>
      </c>
    </row>
    <row r="50" spans="2:10" ht="16.5" thickTop="1" thickBot="1" x14ac:dyDescent="0.4">
      <c r="C50" s="8" t="s">
        <v>35</v>
      </c>
      <c r="D50" s="46">
        <v>101994415</v>
      </c>
      <c r="E50" s="46">
        <f>'Scaled 2014-15 Data'!F21*1000000</f>
        <v>263521259.39693201</v>
      </c>
      <c r="F50" s="107"/>
      <c r="G50" s="59">
        <v>105.5</v>
      </c>
      <c r="H50" s="59">
        <f ca="1">'[8]Total Trip Tables'!$B$166</f>
        <v>135.14312241190001</v>
      </c>
      <c r="I50" s="77"/>
      <c r="J50" s="118"/>
    </row>
    <row r="51" spans="2:10" ht="13" thickTop="1" x14ac:dyDescent="0.25"/>
    <row r="53" spans="2:10" x14ac:dyDescent="0.25">
      <c r="B53" s="105" t="s">
        <v>79</v>
      </c>
      <c r="C53" t="s">
        <v>80</v>
      </c>
    </row>
    <row r="54" spans="2:10" x14ac:dyDescent="0.25">
      <c r="B54" s="105" t="s">
        <v>84</v>
      </c>
      <c r="C54" s="106" t="s">
        <v>83</v>
      </c>
      <c r="F54" t="s">
        <v>86</v>
      </c>
    </row>
    <row r="55" spans="2:10" x14ac:dyDescent="0.25">
      <c r="B55" s="105" t="s">
        <v>88</v>
      </c>
      <c r="C55" t="s">
        <v>89</v>
      </c>
    </row>
    <row r="57" spans="2:10" ht="13" thickBot="1" x14ac:dyDescent="0.3"/>
    <row r="58" spans="2:10" ht="16.5" thickTop="1" thickBot="1" x14ac:dyDescent="0.4">
      <c r="C58" s="32" t="s">
        <v>102</v>
      </c>
      <c r="D58" s="34"/>
      <c r="E58" s="34"/>
      <c r="F58" s="34"/>
      <c r="G58" s="34"/>
      <c r="H58" s="34"/>
      <c r="I58" s="35"/>
    </row>
    <row r="59" spans="2:10" ht="14" thickTop="1" thickBot="1" x14ac:dyDescent="0.35">
      <c r="C59" s="122"/>
      <c r="D59" s="71" t="s">
        <v>25</v>
      </c>
      <c r="E59" s="71" t="s">
        <v>37</v>
      </c>
      <c r="F59" s="195" t="s">
        <v>38</v>
      </c>
      <c r="G59" s="71" t="s">
        <v>177</v>
      </c>
      <c r="H59" s="33" t="s">
        <v>178</v>
      </c>
      <c r="I59" s="97" t="s">
        <v>26</v>
      </c>
    </row>
    <row r="60" spans="2:10" ht="14" thickTop="1" thickBot="1" x14ac:dyDescent="0.35">
      <c r="C60" s="70"/>
      <c r="D60" s="71" t="s">
        <v>39</v>
      </c>
      <c r="E60" s="71" t="s">
        <v>39</v>
      </c>
      <c r="F60" s="71" t="s">
        <v>39</v>
      </c>
      <c r="G60" s="71" t="s">
        <v>39</v>
      </c>
      <c r="H60" s="71" t="s">
        <v>39</v>
      </c>
      <c r="I60" s="72" t="s">
        <v>39</v>
      </c>
    </row>
    <row r="61" spans="2:10" ht="31.5" thickTop="1" x14ac:dyDescent="0.35">
      <c r="C61" s="123" t="s">
        <v>23</v>
      </c>
      <c r="D61" s="98">
        <f>SUM('[1]12_13 fleet'!$D$9:$D$22)+SUM('[1]12_13 fleet'!$D$24:$D$37)</f>
        <v>8813</v>
      </c>
      <c r="E61" s="98">
        <f>SUM('[2]13_14 fleet'!$D$10:$D$23)+SUM('[2]13_14 fleet'!$D$25:$D$38)</f>
        <v>9095</v>
      </c>
      <c r="F61" s="98">
        <f>SUM('[3]14_15 fleet'!$D$10:$D$23)+SUM('[3]14_15 fleet'!$D$25:$D$38)</f>
        <v>9283</v>
      </c>
      <c r="G61" s="98">
        <f>SUM('[4]15_16 fleet'!$D$10:$D$23)+SUM('[4]15_16 fleet'!$D$25:$D$38)</f>
        <v>9636</v>
      </c>
      <c r="H61" s="210">
        <f>SUM('[5]16_17 fleet_v2'!$D$10:$D$23)+SUM('[5]16_17 fleet_v2'!$D$25:$D$38)</f>
        <v>10187</v>
      </c>
      <c r="I61" s="196">
        <f>SUM('[6]17_18 fleet_v3'!$D$11:$D$24)+SUM('[6]17_18 fleet_v3'!$D$26:$D$39)</f>
        <v>10802</v>
      </c>
    </row>
    <row r="62" spans="2:10" ht="16" thickBot="1" x14ac:dyDescent="0.4">
      <c r="C62" s="25" t="s">
        <v>97</v>
      </c>
      <c r="D62" s="98">
        <f>'[1]12_13 fleet'!$D$8+'[1]12_13 fleet'!$D$23</f>
        <v>161</v>
      </c>
      <c r="E62" s="98">
        <f>'[2]13_14 fleet'!$D$9+'[2]13_14 fleet'!$D$24</f>
        <v>158</v>
      </c>
      <c r="F62" s="98">
        <f>'[3]14_15 fleet'!$D$9+'[3]14_15 fleet'!$D$24</f>
        <v>157</v>
      </c>
      <c r="G62" s="98">
        <f>'[4]15_16 fleet'!$D$9+'[4]15_16 fleet'!$D$24</f>
        <v>155</v>
      </c>
      <c r="H62" s="98">
        <f>'[5]16_17 fleet_v2'!$D$9+'[5]16_17 fleet_v2'!$D$24</f>
        <v>152</v>
      </c>
      <c r="I62" s="99">
        <f>'[6]17_18 fleet_v3'!$D$10+'[6]17_18 fleet_v3'!$D$25</f>
        <v>151</v>
      </c>
    </row>
    <row r="63" spans="2:10" ht="16.5" thickTop="1" thickBot="1" x14ac:dyDescent="0.4">
      <c r="C63" s="8" t="s">
        <v>98</v>
      </c>
      <c r="D63" s="104">
        <f>D61+D62</f>
        <v>8974</v>
      </c>
      <c r="E63" s="102">
        <f>E61+E62</f>
        <v>9253</v>
      </c>
      <c r="F63" s="102">
        <f>F61+F62</f>
        <v>9440</v>
      </c>
      <c r="G63" s="102">
        <f t="shared" ref="G63:H63" si="9">G61+G62</f>
        <v>9791</v>
      </c>
      <c r="H63" s="102">
        <f t="shared" si="9"/>
        <v>10339</v>
      </c>
      <c r="I63" s="103">
        <f t="shared" ref="I63" si="10">I61+I62</f>
        <v>10953</v>
      </c>
    </row>
    <row r="64" spans="2:10" ht="32" thickTop="1" thickBot="1" x14ac:dyDescent="0.4">
      <c r="C64" s="31" t="s">
        <v>99</v>
      </c>
      <c r="D64" s="100">
        <f>SUM('[1]12_13 fleet'!$D$8:$D$22)+SUM('[1]12_13 fleet'!$D$23:$D$37)</f>
        <v>8974</v>
      </c>
      <c r="E64" s="100">
        <f>SUM('[2]13_14 fleet'!$D$9:$D$23)+SUM('[2]13_14 fleet'!$D$24:$D$38)</f>
        <v>9253</v>
      </c>
      <c r="F64" s="100">
        <f>SUM('[3]14_15 fleet'!$D$9:$D$23)+SUM('[3]14_15 fleet'!$D$24:$D$38)</f>
        <v>9440</v>
      </c>
      <c r="G64" s="100">
        <f>SUM('[4]15_16 fleet'!$D$9:$D$23)+SUM('[4]15_16 fleet'!$D$24:$D$38)</f>
        <v>9791</v>
      </c>
      <c r="H64" s="100">
        <f>SUM('[5]16_17 fleet_v2'!$D$9:$D$23)+SUM('[5]16_17 fleet_v2'!$D$24:$D$38)</f>
        <v>10339</v>
      </c>
      <c r="I64" s="101">
        <f>SUM('[6]17_18 fleet_v3'!$D$10:$D$24)+SUM('[6]17_18 fleet_v3'!$D$25:$D$39)</f>
        <v>10953</v>
      </c>
    </row>
    <row r="65" spans="3:9" ht="16.5" thickTop="1" thickBot="1" x14ac:dyDescent="0.4">
      <c r="C65" s="31" t="s">
        <v>101</v>
      </c>
      <c r="D65" s="124">
        <f>D63/D61</f>
        <v>1.0182684670373312</v>
      </c>
      <c r="E65" s="125">
        <f>E63/E61</f>
        <v>1.017372182517867</v>
      </c>
      <c r="F65" s="125">
        <f>F63/F61</f>
        <v>1.0169126360012928</v>
      </c>
      <c r="G65" s="125">
        <f t="shared" ref="G65:H65" si="11">G63/G61</f>
        <v>1.0160855126608552</v>
      </c>
      <c r="H65" s="125">
        <f t="shared" si="11"/>
        <v>1.0149209777166976</v>
      </c>
      <c r="I65" s="126">
        <f t="shared" ref="I65" si="12">I63/I61</f>
        <v>1.0139788927976301</v>
      </c>
    </row>
    <row r="66" spans="3:9" ht="13" thickTop="1" x14ac:dyDescent="0.25"/>
  </sheetData>
  <hyperlinks>
    <hyperlink ref="C54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C2:Q240"/>
  <sheetViews>
    <sheetView topLeftCell="A182" zoomScaleNormal="100" workbookViewId="0">
      <selection activeCell="I254" sqref="I254"/>
    </sheetView>
  </sheetViews>
  <sheetFormatPr defaultRowHeight="12.5" x14ac:dyDescent="0.25"/>
  <cols>
    <col min="3" max="3" width="44" customWidth="1"/>
    <col min="4" max="11" width="17.81640625" customWidth="1"/>
    <col min="12" max="12" width="17.81640625" style="121" customWidth="1"/>
    <col min="13" max="17" width="17.81640625" customWidth="1"/>
  </cols>
  <sheetData>
    <row r="2" spans="3:17" ht="15.5" x14ac:dyDescent="0.35">
      <c r="C2" s="180" t="str">
        <f ca="1">INDIRECT(ADDRESS(D2+6,3,4,TRUE,"Car+SUV"))</f>
        <v>Northland</v>
      </c>
      <c r="D2" s="181">
        <v>1</v>
      </c>
    </row>
    <row r="3" spans="3:17" ht="13" thickBot="1" x14ac:dyDescent="0.3"/>
    <row r="4" spans="3:17" ht="16" thickTop="1" x14ac:dyDescent="0.35">
      <c r="C4" s="32" t="s">
        <v>47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113</v>
      </c>
      <c r="D7" s="55">
        <f ca="1">INDIRECT(ADDRESS(D2+6,4,4,TRUE,"Car+SUV"))-D9</f>
        <v>1149.6743227280208</v>
      </c>
      <c r="E7" s="53">
        <f ca="1">INDIRECT(ADDRESS(D2+6,5,4,TRUE,"Car+SUV"))-E9</f>
        <v>1202.655003788225</v>
      </c>
      <c r="F7" s="53">
        <f ca="1">INDIRECT(ADDRESS($D2+6,6,4,TRUE,"Car+SUV"))-F9</f>
        <v>1230.5941491081201</v>
      </c>
      <c r="G7" s="53">
        <f ca="1">INDIRECT(ADDRESS($D2+6,7,4,TRUE,"Car+SUV"))-G9</f>
        <v>1284.5328818019586</v>
      </c>
      <c r="H7" s="53">
        <f ca="1">INDIRECT(ADDRESS($D2+6,8,4,TRUE,"Car+SUV"))-H9</f>
        <v>1305.9577992802606</v>
      </c>
      <c r="I7" s="53">
        <f ca="1">INDIRECT(ADDRESS(D2+6,9,4,TRUE,"Car+SUV"))-I9</f>
        <v>1435.7832818364964</v>
      </c>
      <c r="J7" s="53">
        <f ca="1">INDIRECT(ADDRESS(D2+6,10,4,TRUE,"Car+SUV"))-J9</f>
        <v>1526.4361557881291</v>
      </c>
      <c r="K7" s="53">
        <f ca="1">INDIRECT(ADDRESS(D2+6,11,4,TRUE,"Car+SUV"))-K9</f>
        <v>1467.1129814747135</v>
      </c>
      <c r="L7" s="53">
        <f ca="1">INDIRECT(ADDRESS(D2+6,12,4,TRUE,"Car+SUV"))-L9</f>
        <v>1387.9866064457615</v>
      </c>
      <c r="M7" s="53">
        <f ca="1">INDIRECT(ADDRESS(D2+6,13,4,TRUE,"Car+SUV"))-M9</f>
        <v>1288.2530356765078</v>
      </c>
      <c r="N7" s="53">
        <f ca="1">INDIRECT(ADDRESS(D2+6,14,4,TRUE,"Car+SUV"))-N9</f>
        <v>1178.5047642763129</v>
      </c>
      <c r="O7" s="53">
        <f ca="1">INDIRECT(ADDRESS(D2+6,15,4,TRUE,"Car+SUV"))-O9</f>
        <v>1063.5224833495381</v>
      </c>
      <c r="P7" s="53">
        <f ca="1">INDIRECT(ADDRESS(D2+6,16,4,TRUE,"Car+SUV"))-P9</f>
        <v>942.39003740464204</v>
      </c>
      <c r="Q7" s="54">
        <f ca="1">INDIRECT(ADDRESS(D2+6,17,4,TRUE,"Car+SUV"))-Q9</f>
        <v>815.70291381870265</v>
      </c>
    </row>
    <row r="8" spans="3:17" ht="15.5" x14ac:dyDescent="0.35">
      <c r="C8" s="24" t="s">
        <v>114</v>
      </c>
      <c r="D8" s="55">
        <f ca="1">INDIRECT(ADDRESS(D2+6,4,4,TRUE,"Van+Ute"))-D10</f>
        <v>309.68450128949002</v>
      </c>
      <c r="E8" s="56">
        <f ca="1">INDIRECT(ADDRESS(D2+6,5,4,TRUE,"Van+Ute"))-E10</f>
        <v>333.50712076679014</v>
      </c>
      <c r="F8" s="56">
        <f ca="1">INDIRECT(ADDRESS($D2+6,6,4,TRUE,"Van+Ute"))-F10</f>
        <v>357.67278128477517</v>
      </c>
      <c r="G8" s="56">
        <f ca="1">INDIRECT(ADDRESS($D2+6,7,4,TRUE,"Van+Ute"))-G10</f>
        <v>378.51877492107019</v>
      </c>
      <c r="H8" s="56">
        <f ca="1">INDIRECT(ADDRESS($D2+6,8,4,TRUE,"Van+Ute"))-H10</f>
        <v>395.28994169033791</v>
      </c>
      <c r="I8" s="56">
        <f ca="1">INDIRECT(ADDRESS(D2+6,9,4,TRUE,"Van+Ute"))-I10</f>
        <v>451.60936385052378</v>
      </c>
      <c r="J8" s="56">
        <f ca="1">INDIRECT(ADDRESS(D2+6,10,4,TRUE,"Van+Ute"))-J10</f>
        <v>491.68212422783643</v>
      </c>
      <c r="K8" s="56">
        <f ca="1">INDIRECT(ADDRESS(D2+6,11,4,TRUE,"Van+Ute"))-K10</f>
        <v>498.05645465691998</v>
      </c>
      <c r="L8" s="56">
        <f ca="1">INDIRECT(ADDRESS(D2+6,12,4,TRUE,"Van+Ute"))-L10</f>
        <v>499.97299204152608</v>
      </c>
      <c r="M8" s="56">
        <f ca="1">INDIRECT(ADDRESS(D2+6,13,4,TRUE,"Van+Ute"))-M10</f>
        <v>498.62763107434358</v>
      </c>
      <c r="N8" s="56">
        <f ca="1">INDIRECT(ADDRESS(D2+6,14,4,TRUE,"Van+Ute"))-N10</f>
        <v>496.81541206464749</v>
      </c>
      <c r="O8" s="56">
        <f ca="1">INDIRECT(ADDRESS(D2+6,15,4,TRUE,"Van+Ute"))-O10</f>
        <v>495.26297271825615</v>
      </c>
      <c r="P8" s="56">
        <f ca="1">INDIRECT(ADDRESS(D2+6,16,4,TRUE,"Van+Ute"))-P10</f>
        <v>492.23871839114042</v>
      </c>
      <c r="Q8" s="57">
        <f ca="1">INDIRECT(ADDRESS(D2+6,17,4,TRUE,"Van+Ute"))-Q10</f>
        <v>486.91478389179156</v>
      </c>
    </row>
    <row r="9" spans="3:17" ht="15.5" x14ac:dyDescent="0.35">
      <c r="C9" s="24" t="s">
        <v>115</v>
      </c>
      <c r="D9" s="55">
        <f ca="1">INDIRECT(ADDRESS(D2+130,4,4,TRUE,"Car+SUV"))</f>
        <v>4.4043644080415794</v>
      </c>
      <c r="E9" s="56">
        <f ca="1">INDIRECT(ADDRESS(D2+130,5,4,TRUE,"Car+SUV"))</f>
        <v>4.5083345300155786</v>
      </c>
      <c r="F9" s="56">
        <f ca="1">INDIRECT(ADDRESS($D2+130,6,4,TRUE,"Car+SUV"))</f>
        <v>4.2156135588657904</v>
      </c>
      <c r="G9" s="56">
        <f ca="1">INDIRECT(ADDRESS($D2+130,7,4,TRUE,"Car+SUV"))</f>
        <v>4.1778978535648497</v>
      </c>
      <c r="H9" s="56">
        <f ca="1">INDIRECT(ADDRESS($D2+130,8,4,TRUE,"Car+SUV"))</f>
        <v>4.5016576279815252</v>
      </c>
      <c r="I9" s="56">
        <f ca="1">INDIRECT(ADDRESS(D2+130,9,4,TRUE,"Car+SUV"))</f>
        <v>4.9352792593227859</v>
      </c>
      <c r="J9" s="56">
        <f ca="1">INDIRECT(ADDRESS(D2+130,10,4,TRUE,"Car+SUV"))</f>
        <v>5.7950503041052821</v>
      </c>
      <c r="K9" s="56">
        <f ca="1">INDIRECT(ADDRESS(D2+130,11,4,TRUE,"Car+SUV"))</f>
        <v>146.90644292601777</v>
      </c>
      <c r="L9" s="56">
        <f ca="1">INDIRECT(ADDRESS(D2+130,12,4,TRUE,"Car+SUV"))</f>
        <v>298.10411304046158</v>
      </c>
      <c r="M9" s="56">
        <f ca="1">INDIRECT(ADDRESS(D2+130,13,4,TRUE,"Car+SUV"))</f>
        <v>454.38318141424571</v>
      </c>
      <c r="N9" s="56">
        <f ca="1">INDIRECT(ADDRESS(D2+130,14,4,TRUE,"Car+SUV"))</f>
        <v>614.08296317338477</v>
      </c>
      <c r="O9" s="56">
        <f ca="1">INDIRECT(ADDRESS(D2+130,15,4,TRUE,"Car+SUV"))</f>
        <v>777.08624295585298</v>
      </c>
      <c r="P9" s="56">
        <f ca="1">INDIRECT(ADDRESS(D2+130,16,4,TRUE,"Car+SUV"))</f>
        <v>942.13591934432748</v>
      </c>
      <c r="Q9" s="57">
        <f ca="1">INDIRECT(ADDRESS(D2+130,17,4,TRUE,"Car+SUV"))</f>
        <v>1109.0834291848091</v>
      </c>
    </row>
    <row r="10" spans="3:17" ht="15.5" x14ac:dyDescent="0.35">
      <c r="C10" s="24" t="s">
        <v>116</v>
      </c>
      <c r="D10" s="55">
        <f ca="1">INDIRECT(ADDRESS(D2+130,4,4,TRUE,"Van+Ute"))</f>
        <v>2.1369904443490269</v>
      </c>
      <c r="E10" s="56">
        <f ca="1">INDIRECT(ADDRESS(D2+130,5,4,TRUE,"Van+Ute"))</f>
        <v>1.9065769815510174</v>
      </c>
      <c r="F10" s="56">
        <f ca="1">INDIRECT(ADDRESS($D2+130,6,4,TRUE,"Van+Ute"))</f>
        <v>1.8012477605296968</v>
      </c>
      <c r="G10" s="56">
        <f ca="1">INDIRECT(ADDRESS($D2+130,7,4,TRUE,"Van+Ute"))</f>
        <v>1.9897735475121687</v>
      </c>
      <c r="H10" s="56">
        <f ca="1">INDIRECT(ADDRESS($D2+130,8,4,TRUE,"Van+Ute"))</f>
        <v>2.2714390165953389</v>
      </c>
      <c r="I10" s="56">
        <f ca="1">INDIRECT(ADDRESS(D2+130,9,4,TRUE,"Van+Ute"))</f>
        <v>2.3843531850304203</v>
      </c>
      <c r="J10" s="56">
        <f ca="1">INDIRECT(ADDRESS(D2+130,10,4,TRUE,"Van+Ute"))</f>
        <v>2.7997294426457544</v>
      </c>
      <c r="K10" s="56">
        <f ca="1">INDIRECT(ADDRESS(D2+130,11,4,TRUE,"Van+Ute"))</f>
        <v>33.134831530589487</v>
      </c>
      <c r="L10" s="56">
        <f ca="1">INDIRECT(ADDRESS(D2+130,12,4,TRUE,"Van+Ute"))</f>
        <v>65.616504351750947</v>
      </c>
      <c r="M10" s="56">
        <f ca="1">INDIRECT(ADDRESS(D2+130,13,4,TRUE,"Van+Ute"))</f>
        <v>99.1847231679955</v>
      </c>
      <c r="N10" s="56">
        <f ca="1">INDIRECT(ADDRESS(D2+130,14,4,TRUE,"Van+Ute"))</f>
        <v>133.5023006375803</v>
      </c>
      <c r="O10" s="56">
        <f ca="1">INDIRECT(ADDRESS(D2+130,15,4,TRUE,"Van+Ute"))</f>
        <v>168.51275146702301</v>
      </c>
      <c r="P10" s="56">
        <f ca="1">INDIRECT(ADDRESS(D2+130,16,4,TRUE,"Van+Ute"))</f>
        <v>203.98197803760164</v>
      </c>
      <c r="Q10" s="57">
        <f ca="1">INDIRECT(ADDRESS(D2+130,17,4,TRUE,"Van+Ute"))</f>
        <v>239.88134569165572</v>
      </c>
    </row>
    <row r="11" spans="3:17" ht="15.5" x14ac:dyDescent="0.35">
      <c r="C11" s="24" t="s">
        <v>43</v>
      </c>
      <c r="D11" s="55">
        <f ca="1">INDIRECT(ADDRESS(D2+6,4,4,TRUE,"Heavy Truck"))</f>
        <v>126.51769458108933</v>
      </c>
      <c r="E11" s="56">
        <f ca="1">INDIRECT(ADDRESS(D2+6,5,4,TRUE,"Heavy Truck"))</f>
        <v>135.67452055937187</v>
      </c>
      <c r="F11" s="56">
        <f ca="1">INDIRECT(ADDRESS($D2+6,6,4,TRUE,"Heavy Truck"))</f>
        <v>141.72576536799093</v>
      </c>
      <c r="G11" s="56">
        <f ca="1">INDIRECT(ADDRESS($D2+6,7,4,TRUE,"Heavy Truck"))</f>
        <v>145.12569054563383</v>
      </c>
      <c r="H11" s="56">
        <f ca="1">INDIRECT(ADDRESS($D2+6,8,4,TRUE,"Heavy Truck"))</f>
        <v>144.68127590537878</v>
      </c>
      <c r="I11" s="56">
        <f ca="1">INDIRECT(ADDRESS(D2+6,9,4,TRUE,"Heavy Truck"))</f>
        <v>152.84165002703716</v>
      </c>
      <c r="J11" s="56">
        <f ca="1">INDIRECT(ADDRESS(D2+6,10,4,TRUE,"Heavy Truck"))</f>
        <v>165.3120795522959</v>
      </c>
      <c r="K11" s="56">
        <f ca="1">INDIRECT(ADDRESS(D2+6,11,4,TRUE,"Heavy Truck"))</f>
        <v>171.38549630891973</v>
      </c>
      <c r="L11" s="56">
        <f ca="1">INDIRECT(ADDRESS(D2+6,12,4,TRUE,"Heavy Truck"))</f>
        <v>177.0594657096519</v>
      </c>
      <c r="M11" s="56">
        <f ca="1">INDIRECT(ADDRESS(D2+6,13,4,TRUE,"Heavy Truck"))</f>
        <v>175.16900985313052</v>
      </c>
      <c r="N11" s="56">
        <f ca="1">INDIRECT(ADDRESS(D2+6,14,4,TRUE,"Heavy Truck"))</f>
        <v>173.26427034901792</v>
      </c>
      <c r="O11" s="56">
        <f ca="1">INDIRECT(ADDRESS(D2+6,15,4,TRUE,"Heavy Truck"))</f>
        <v>176.24499474232783</v>
      </c>
      <c r="P11" s="56">
        <f ca="1">INDIRECT(ADDRESS(D2+6,16,4,TRUE,"Heavy Truck"))</f>
        <v>178.97378984093862</v>
      </c>
      <c r="Q11" s="57">
        <f ca="1">INDIRECT(ADDRESS(D2+6,17,4,TRUE,"Heavy Truck"))</f>
        <v>181.46125722587689</v>
      </c>
    </row>
    <row r="12" spans="3:17" ht="15.5" x14ac:dyDescent="0.35">
      <c r="C12" s="24" t="s">
        <v>44</v>
      </c>
      <c r="D12" s="55">
        <f ca="1">INDIRECT(ADDRESS(D2+6,4,4,TRUE,"Heavy Bus"))</f>
        <v>9.7590652962429942</v>
      </c>
      <c r="E12" s="56">
        <f ca="1">INDIRECT(ADDRESS(D2+6,5,4,TRUE,"Heavy Bus"))</f>
        <v>10.401779044802701</v>
      </c>
      <c r="F12" s="56">
        <f ca="1">INDIRECT(ADDRESS($D2+6,6,4,TRUE,"Heavy Bus"))</f>
        <v>11.633802891815147</v>
      </c>
      <c r="G12" s="56">
        <f ca="1">INDIRECT(ADDRESS($D2+6,7,4,TRUE,"Heavy Bus"))</f>
        <v>11.652795408584044</v>
      </c>
      <c r="H12" s="56">
        <f ca="1">INDIRECT(ADDRESS($D2+6,8,4,TRUE,"Heavy Bus"))</f>
        <v>11.219540743730134</v>
      </c>
      <c r="I12" s="56">
        <f ca="1">INDIRECT(ADDRESS(D2+6,9,4,TRUE,"Heavy Bus"))</f>
        <v>12.523240539913349</v>
      </c>
      <c r="J12" s="56">
        <f ca="1">INDIRECT(ADDRESS(D2+6,10,4,TRUE,"Heavy Bus"))</f>
        <v>14.586219966159364</v>
      </c>
      <c r="K12" s="56">
        <f ca="1">INDIRECT(ADDRESS(D2+6,11,4,TRUE,"Heavy Bus"))</f>
        <v>16.371204317234714</v>
      </c>
      <c r="L12" s="56">
        <f ca="1">INDIRECT(ADDRESS(D2+6,12,4,TRUE,"Heavy Bus"))</f>
        <v>18.077113676631011</v>
      </c>
      <c r="M12" s="56">
        <f ca="1">INDIRECT(ADDRESS(D2+6,13,4,TRUE,"Heavy Bus"))</f>
        <v>20.119056390757748</v>
      </c>
      <c r="N12" s="56">
        <f ca="1">INDIRECT(ADDRESS(D2+6,14,4,TRUE,"Heavy Bus"))</f>
        <v>22.477758707964256</v>
      </c>
      <c r="O12" s="56">
        <f ca="1">INDIRECT(ADDRESS(D2+6,15,4,TRUE,"Heavy Bus"))</f>
        <v>25.404497168158947</v>
      </c>
      <c r="P12" s="56">
        <f ca="1">INDIRECT(ADDRESS(D2+6,16,4,TRUE,"Heavy Bus"))</f>
        <v>28.774203696151279</v>
      </c>
      <c r="Q12" s="57">
        <f ca="1">INDIRECT(ADDRESS(D2+6,17,4,TRUE,"Heavy Bus"))</f>
        <v>32.663803750741828</v>
      </c>
    </row>
    <row r="13" spans="3:17" ht="16" thickBot="1" x14ac:dyDescent="0.4">
      <c r="C13" s="24" t="s">
        <v>42</v>
      </c>
      <c r="D13" s="55">
        <f ca="1">INDIRECT(ADDRESS(D2+6,4,4,TRUE,"Motorcycle"))</f>
        <v>12.256338036699967</v>
      </c>
      <c r="E13" s="56">
        <f ca="1">INDIRECT(ADDRESS(D2+6,5,4,TRUE,"Motorcycle"))</f>
        <v>13.263818395435685</v>
      </c>
      <c r="F13" s="56">
        <f ca="1">INDIRECT(ADDRESS($D2+6,6,4,TRUE,"Motorcycle"))</f>
        <v>13.485359116357262</v>
      </c>
      <c r="G13" s="56">
        <f ca="1">INDIRECT(ADDRESS($D2+6,7,4,TRUE,"Motorcycle"))</f>
        <v>14.484052275603073</v>
      </c>
      <c r="H13" s="56">
        <f ca="1">INDIRECT(ADDRESS($D2+6,8,4,TRUE,"Motorcycle"))</f>
        <v>13.936503563654707</v>
      </c>
      <c r="I13" s="56">
        <f ca="1">INDIRECT(ADDRESS(D2+6,9,4,TRUE,"Motorcycle"))</f>
        <v>14.401596932513305</v>
      </c>
      <c r="J13" s="56">
        <f ca="1">INDIRECT(ADDRESS(D2+6,10,4,TRUE,"Motorcycle"))</f>
        <v>15.129911641712745</v>
      </c>
      <c r="K13" s="56">
        <f ca="1">INDIRECT(ADDRESS(D2+6,11,4,TRUE,"Motorcycle"))</f>
        <v>15.522645358486598</v>
      </c>
      <c r="L13" s="56">
        <f ca="1">INDIRECT(ADDRESS(D2+6,12,4,TRUE,"Motorcycle"))</f>
        <v>15.718774242681645</v>
      </c>
      <c r="M13" s="56">
        <f ca="1">INDIRECT(ADDRESS(D2+6,13,4,TRUE,"Motorcycle"))</f>
        <v>15.610753426362374</v>
      </c>
      <c r="N13" s="56">
        <f ca="1">INDIRECT(ADDRESS(D2+6,14,4,TRUE,"Motorcycle"))</f>
        <v>15.399830559200268</v>
      </c>
      <c r="O13" s="56">
        <f ca="1">INDIRECT(ADDRESS(D2+6,15,4,TRUE,"Motorcycle"))</f>
        <v>15.712509651758424</v>
      </c>
      <c r="P13" s="56">
        <f ca="1">INDIRECT(ADDRESS(D2+6,16,4,TRUE,"Motorcycle"))</f>
        <v>15.987588802851667</v>
      </c>
      <c r="Q13" s="57">
        <f ca="1">INDIRECT(ADDRESS(D2+6,17,4,TRUE,"Motorcycle"))</f>
        <v>16.239792049979688</v>
      </c>
    </row>
    <row r="14" spans="3:17" ht="16.5" thickTop="1" thickBot="1" x14ac:dyDescent="0.4">
      <c r="C14" s="31" t="s">
        <v>45</v>
      </c>
      <c r="D14" s="61">
        <f ca="1">SUM(D7:D13)</f>
        <v>1614.4332767839339</v>
      </c>
      <c r="E14" s="62">
        <f t="shared" ref="E14:N14" ca="1" si="0">SUM(E7:E13)</f>
        <v>1701.9171540661921</v>
      </c>
      <c r="F14" s="62">
        <f t="shared" ca="1" si="0"/>
        <v>1761.1287190884541</v>
      </c>
      <c r="G14" s="62">
        <f t="shared" ca="1" si="0"/>
        <v>1840.481866353927</v>
      </c>
      <c r="H14" s="62">
        <f t="shared" ca="1" si="0"/>
        <v>1877.8581578279388</v>
      </c>
      <c r="I14" s="62">
        <f t="shared" ca="1" si="0"/>
        <v>2074.4787656308372</v>
      </c>
      <c r="J14" s="62">
        <f t="shared" ca="1" si="0"/>
        <v>2221.7412709228838</v>
      </c>
      <c r="K14" s="62">
        <f t="shared" ca="1" si="0"/>
        <v>2348.4900565728817</v>
      </c>
      <c r="L14" s="62">
        <f t="shared" ca="1" si="0"/>
        <v>2462.5355695084645</v>
      </c>
      <c r="M14" s="62">
        <f t="shared" ca="1" si="0"/>
        <v>2551.3473910033426</v>
      </c>
      <c r="N14" s="62">
        <f t="shared" ca="1" si="0"/>
        <v>2634.0472997681081</v>
      </c>
      <c r="O14" s="62">
        <f t="shared" ref="O14:Q14" ca="1" si="1">SUM(O7:O13)</f>
        <v>2721.7464520529152</v>
      </c>
      <c r="P14" s="62">
        <f t="shared" ca="1" si="1"/>
        <v>2804.482235517653</v>
      </c>
      <c r="Q14" s="63">
        <f t="shared" ca="1" si="1"/>
        <v>2881.9473256135575</v>
      </c>
    </row>
    <row r="15" spans="3:17" ht="13" thickTop="1" x14ac:dyDescent="0.25">
      <c r="L15"/>
      <c r="N15" s="121"/>
    </row>
    <row r="16" spans="3:17" ht="13" thickBot="1" x14ac:dyDescent="0.3">
      <c r="L16"/>
      <c r="N16" s="121"/>
    </row>
    <row r="17" spans="3:17" ht="16.5" thickTop="1" thickBot="1" x14ac:dyDescent="0.4">
      <c r="C17" s="180" t="str">
        <f ca="1">INDIRECT(ADDRESS(D17+6,3,4,TRUE,"Car+SUV"))</f>
        <v>Auckland</v>
      </c>
      <c r="D17" s="182">
        <v>2</v>
      </c>
      <c r="E17" t="s">
        <v>170</v>
      </c>
      <c r="L17"/>
      <c r="N17" s="121"/>
    </row>
    <row r="18" spans="3:17" ht="13.5" thickTop="1" thickBot="1" x14ac:dyDescent="0.3">
      <c r="L18"/>
      <c r="N18" s="121"/>
    </row>
    <row r="19" spans="3:17" ht="16" thickTop="1" x14ac:dyDescent="0.35">
      <c r="C19" s="32" t="s">
        <v>47</v>
      </c>
      <c r="D19" s="33"/>
      <c r="E19" s="33"/>
      <c r="F19" s="33"/>
      <c r="G19" s="33"/>
      <c r="H19" s="33"/>
      <c r="I19" s="33"/>
      <c r="J19" s="34"/>
      <c r="K19" s="34"/>
      <c r="L19" s="34"/>
      <c r="M19" s="34"/>
      <c r="N19" s="34"/>
      <c r="O19" s="34"/>
      <c r="P19" s="34"/>
      <c r="Q19" s="35"/>
    </row>
    <row r="20" spans="3:17" ht="13.5" thickBot="1" x14ac:dyDescent="0.35">
      <c r="C20" s="36"/>
      <c r="D20" s="37" t="s">
        <v>25</v>
      </c>
      <c r="E20" s="37" t="s">
        <v>37</v>
      </c>
      <c r="F20" s="37" t="s">
        <v>38</v>
      </c>
      <c r="G20" s="37" t="s">
        <v>177</v>
      </c>
      <c r="H20" s="37" t="s">
        <v>178</v>
      </c>
      <c r="I20" s="37" t="s">
        <v>26</v>
      </c>
      <c r="J20" s="37" t="s">
        <v>27</v>
      </c>
      <c r="K20" s="37" t="s">
        <v>28</v>
      </c>
      <c r="L20" s="37" t="s">
        <v>29</v>
      </c>
      <c r="M20" s="37" t="s">
        <v>30</v>
      </c>
      <c r="N20" s="37" t="s">
        <v>31</v>
      </c>
      <c r="O20" s="37" t="s">
        <v>174</v>
      </c>
      <c r="P20" s="37" t="s">
        <v>175</v>
      </c>
      <c r="Q20" s="38" t="s">
        <v>176</v>
      </c>
    </row>
    <row r="21" spans="3:17" ht="14" thickTop="1" thickBot="1" x14ac:dyDescent="0.35">
      <c r="C21" s="70"/>
      <c r="D21" s="71" t="s">
        <v>39</v>
      </c>
      <c r="E21" s="65" t="s">
        <v>39</v>
      </c>
      <c r="F21" s="65" t="s">
        <v>39</v>
      </c>
      <c r="G21" s="65" t="s">
        <v>39</v>
      </c>
      <c r="H21" s="65" t="s">
        <v>39</v>
      </c>
      <c r="I21" s="65" t="s">
        <v>39</v>
      </c>
      <c r="J21" s="65" t="s">
        <v>32</v>
      </c>
      <c r="K21" s="65" t="s">
        <v>32</v>
      </c>
      <c r="L21" s="65" t="s">
        <v>32</v>
      </c>
      <c r="M21" s="65" t="s">
        <v>32</v>
      </c>
      <c r="N21" s="65" t="s">
        <v>32</v>
      </c>
      <c r="O21" s="65" t="s">
        <v>32</v>
      </c>
      <c r="P21" s="65" t="s">
        <v>32</v>
      </c>
      <c r="Q21" s="66" t="s">
        <v>32</v>
      </c>
    </row>
    <row r="22" spans="3:17" ht="16" thickTop="1" x14ac:dyDescent="0.35">
      <c r="C22" s="24" t="s">
        <v>113</v>
      </c>
      <c r="D22" s="55">
        <f ca="1">INDIRECT(ADDRESS(D17+6,4,4,TRUE,"Car+SUV"))-D24</f>
        <v>9961.9052472148123</v>
      </c>
      <c r="E22" s="53">
        <f ca="1">INDIRECT(ADDRESS(D17+6,5,4,TRUE,"Car+SUV"))-E24</f>
        <v>10103.197121887848</v>
      </c>
      <c r="F22" s="53">
        <f ca="1">INDIRECT(ADDRESS(D17+6,6,4,TRUE,"Car+SUV"))-F24</f>
        <v>10250.429872986781</v>
      </c>
      <c r="G22" s="53">
        <f ca="1">INDIRECT(ADDRESS($D17+6,7,4,TRUE,"Car+SUV"))-G24</f>
        <v>10421.09874929045</v>
      </c>
      <c r="H22" s="53">
        <f ca="1">INDIRECT(ADDRESS($D17+6,8,4,TRUE,"Car+SUV"))-H24</f>
        <v>10747.535897174459</v>
      </c>
      <c r="I22" s="53">
        <f ca="1">INDIRECT(ADDRESS(D17+6,9,4,TRUE,"Car+SUV"))-I24</f>
        <v>10568.538857256199</v>
      </c>
      <c r="J22" s="53">
        <f ca="1">INDIRECT(ADDRESS(D17+6,10,4,TRUE,"Car+SUV"))-J24</f>
        <v>11428.203056394846</v>
      </c>
      <c r="K22" s="53">
        <f ca="1">INDIRECT(ADDRESS(D17+6,11,4,TRUE,"Car+SUV"))-K24</f>
        <v>11228.756884067443</v>
      </c>
      <c r="L22" s="53">
        <f ca="1">INDIRECT(ADDRESS(D17+6,12,4,TRUE,"Car+SUV"))-L24</f>
        <v>10960.066037900237</v>
      </c>
      <c r="M22" s="53">
        <f ca="1">INDIRECT(ADDRESS(D17+6,13,4,TRUE,"Car+SUV"))-M24</f>
        <v>10548.389304642362</v>
      </c>
      <c r="N22" s="53">
        <f ca="1">INDIRECT(ADDRESS(D17+6,14,4,TRUE,"Car+SUV"))-N24</f>
        <v>10076.958051491652</v>
      </c>
      <c r="O22" s="53">
        <f ca="1">INDIRECT(ADDRESS(D17+6,15,4,TRUE,"Car+SUV"))-O24</f>
        <v>9568.754444182694</v>
      </c>
      <c r="P22" s="53">
        <f ca="1">INDIRECT(ADDRESS(D17+6,16,4,TRUE,"Car+SUV"))-P24</f>
        <v>8997.1307208102735</v>
      </c>
      <c r="Q22" s="54">
        <f ca="1">INDIRECT(ADDRESS(D17+6,17,4,TRUE,"Car+SUV"))-Q24</f>
        <v>8357.4692681589877</v>
      </c>
    </row>
    <row r="23" spans="3:17" ht="15.5" x14ac:dyDescent="0.35">
      <c r="C23" s="24" t="s">
        <v>114</v>
      </c>
      <c r="D23" s="55">
        <f ca="1">INDIRECT(ADDRESS(D17+6,4,4,TRUE,"Van+Ute"))-D25</f>
        <v>1344.4192880976777</v>
      </c>
      <c r="E23" s="56">
        <f ca="1">INDIRECT(ADDRESS(D17+6,5,4,TRUE,"Van+Ute"))-E25</f>
        <v>1403.8581102457185</v>
      </c>
      <c r="F23" s="56">
        <f ca="1">INDIRECT(ADDRESS(D17+6,6,4,TRUE,"Van+Ute"))-F25</f>
        <v>1481.1402786168749</v>
      </c>
      <c r="G23" s="56">
        <f ca="1">INDIRECT(ADDRESS($D17+6,7,4,TRUE,"Van+Ute"))-G25</f>
        <v>1629.1219701638784</v>
      </c>
      <c r="H23" s="56">
        <f ca="1">INDIRECT(ADDRESS($D17+6,8,4,TRUE,"Van+Ute"))-H25</f>
        <v>1809.0188448245656</v>
      </c>
      <c r="I23" s="56">
        <f ca="1">INDIRECT(ADDRESS(D17+6,9,4,TRUE,"Van+Ute"))-I25</f>
        <v>1890.0807723315224</v>
      </c>
      <c r="J23" s="56">
        <f ca="1">INDIRECT(ADDRESS(D17+6,10,4,TRUE,"Van+Ute"))-J25</f>
        <v>2127.632293931375</v>
      </c>
      <c r="K23" s="56">
        <f ca="1">INDIRECT(ADDRESS(D17+6,11,4,TRUE,"Van+Ute"))-K25</f>
        <v>2262.599976904045</v>
      </c>
      <c r="L23" s="56">
        <f ca="1">INDIRECT(ADDRESS(D17+6,12,4,TRUE,"Van+Ute"))-L25</f>
        <v>2396.6568779036702</v>
      </c>
      <c r="M23" s="56">
        <f ca="1">INDIRECT(ADDRESS(D17+6,13,4,TRUE,"Van+Ute"))-M25</f>
        <v>2531.9419353481599</v>
      </c>
      <c r="N23" s="56">
        <f ca="1">INDIRECT(ADDRESS(D17+6,14,4,TRUE,"Van+Ute"))-N25</f>
        <v>2681.8277926750798</v>
      </c>
      <c r="O23" s="56">
        <f ca="1">INDIRECT(ADDRESS(D17+6,15,4,TRUE,"Van+Ute"))-O25</f>
        <v>2845.2456115679597</v>
      </c>
      <c r="P23" s="56">
        <f ca="1">INDIRECT(ADDRESS(D17+6,16,4,TRUE,"Van+Ute"))-P25</f>
        <v>3008.753967283792</v>
      </c>
      <c r="Q23" s="57">
        <f ca="1">INDIRECT(ADDRESS(D17+6,17,4,TRUE,"Van+Ute"))-Q25</f>
        <v>3164.4772304020153</v>
      </c>
    </row>
    <row r="24" spans="3:17" ht="15.5" x14ac:dyDescent="0.35">
      <c r="C24" s="24" t="s">
        <v>115</v>
      </c>
      <c r="D24" s="55">
        <f ca="1">INDIRECT(ADDRESS(D17+130,4,4,TRUE,"Car+SUV"))</f>
        <v>125.50004487820677</v>
      </c>
      <c r="E24" s="56">
        <f ca="1">INDIRECT(ADDRESS(D17+130,5,4,TRUE,"Car+SUV"))</f>
        <v>128.68620800416673</v>
      </c>
      <c r="F24" s="56">
        <f ca="1">INDIRECT(ADDRESS(D17+130,6,4,TRUE,"Car+SUV"))</f>
        <v>131.88375276671914</v>
      </c>
      <c r="G24" s="56">
        <f ca="1">INDIRECT(ADDRESS($D17+130,7,4,TRUE,"Car+SUV"))</f>
        <v>146.61613042163253</v>
      </c>
      <c r="H24" s="56">
        <f ca="1">INDIRECT(ADDRESS($D17+130,8,4,TRUE,"Car+SUV"))</f>
        <v>171.41464682643965</v>
      </c>
      <c r="I24" s="56">
        <f ca="1">INDIRECT(ADDRESS(D17+130,9,4,TRUE,"Car+SUV"))</f>
        <v>248.09323318355956</v>
      </c>
      <c r="J24" s="56">
        <f ca="1">INDIRECT(ADDRESS(D17+130,10,4,TRUE,"Car+SUV"))</f>
        <v>296.44932062469229</v>
      </c>
      <c r="K24" s="56">
        <f ca="1">INDIRECT(ADDRESS(D17+130,11,4,TRUE,"Car+SUV"))</f>
        <v>1302.6354936902521</v>
      </c>
      <c r="L24" s="56">
        <f ca="1">INDIRECT(ADDRESS(D17+130,12,4,TRUE,"Car+SUV"))</f>
        <v>2403.146530875028</v>
      </c>
      <c r="M24" s="56">
        <f ca="1">INDIRECT(ADDRESS(D17+130,13,4,TRUE,"Car+SUV"))</f>
        <v>3567.8877905451272</v>
      </c>
      <c r="N24" s="56">
        <f ca="1">INDIRECT(ADDRESS(D17+130,14,4,TRUE,"Car+SUV"))</f>
        <v>4794.3022791278026</v>
      </c>
      <c r="O24" s="56">
        <f ca="1">INDIRECT(ADDRESS(D17+130,15,4,TRUE,"Car+SUV"))</f>
        <v>6079.5301199664236</v>
      </c>
      <c r="P24" s="56">
        <f ca="1">INDIRECT(ADDRESS(D17+130,16,4,TRUE,"Car+SUV"))</f>
        <v>7416.6727405355405</v>
      </c>
      <c r="Q24" s="57">
        <f ca="1">INDIRECT(ADDRESS(D17+130,17,4,TRUE,"Car+SUV"))</f>
        <v>8802.9382270900751</v>
      </c>
    </row>
    <row r="25" spans="3:17" ht="15.5" x14ac:dyDescent="0.35">
      <c r="C25" s="24" t="s">
        <v>116</v>
      </c>
      <c r="D25" s="55">
        <f ca="1">INDIRECT(ADDRESS(D17+130,4,4,TRUE,"Van+Ute"))</f>
        <v>24.207954994419435</v>
      </c>
      <c r="E25" s="56">
        <f ca="1">INDIRECT(ADDRESS(D17+130,5,4,TRUE,"Van+Ute"))</f>
        <v>22.861305259071852</v>
      </c>
      <c r="F25" s="56">
        <f ca="1">INDIRECT(ADDRESS(D17+130,6,4,TRUE,"Van+Ute"))</f>
        <v>22.777544786852232</v>
      </c>
      <c r="G25" s="56">
        <f ca="1">INDIRECT(ADDRESS($D17+130,7,4,TRUE,"Van+Ute"))</f>
        <v>20.876973683471043</v>
      </c>
      <c r="H25" s="56">
        <f ca="1">INDIRECT(ADDRESS($D17+130,8,4,TRUE,"Van+Ute"))</f>
        <v>22.958100850842346</v>
      </c>
      <c r="I25" s="56">
        <f ca="1">INDIRECT(ADDRESS(D17+130,9,4,TRUE,"Van+Ute"))</f>
        <v>23.390787138719141</v>
      </c>
      <c r="J25" s="56">
        <f ca="1">INDIRECT(ADDRESS(D17+130,10,4,TRUE,"Van+Ute"))</f>
        <v>27.949907650321144</v>
      </c>
      <c r="K25" s="56">
        <f ca="1">INDIRECT(ADDRESS(D17+130,11,4,TRUE,"Van+Ute"))</f>
        <v>115.20243736469735</v>
      </c>
      <c r="L25" s="56">
        <f ca="1">INDIRECT(ADDRESS(D17+130,12,4,TRUE,"Van+Ute"))</f>
        <v>210.59495567761442</v>
      </c>
      <c r="M25" s="56">
        <f ca="1">INDIRECT(ADDRESS(D17+130,13,4,TRUE,"Van+Ute"))</f>
        <v>311.54374513723906</v>
      </c>
      <c r="N25" s="56">
        <f ca="1">INDIRECT(ADDRESS(D17+130,14,4,TRUE,"Van+Ute"))</f>
        <v>417.85629180027786</v>
      </c>
      <c r="O25" s="56">
        <f ca="1">INDIRECT(ADDRESS(D17+130,15,4,TRUE,"Van+Ute"))</f>
        <v>529.23274043749211</v>
      </c>
      <c r="P25" s="56">
        <f ca="1">INDIRECT(ADDRESS(D17+130,16,4,TRUE,"Van+Ute"))</f>
        <v>645.13061176978431</v>
      </c>
      <c r="Q25" s="57">
        <f ca="1">INDIRECT(ADDRESS(D17+130,17,4,TRUE,"Van+Ute"))</f>
        <v>765.31370818931714</v>
      </c>
    </row>
    <row r="26" spans="3:17" ht="15.5" x14ac:dyDescent="0.35">
      <c r="C26" s="24" t="s">
        <v>43</v>
      </c>
      <c r="D26" s="55">
        <f ca="1">INDIRECT(ADDRESS(D17+6,4,4,TRUE,"Heavy Truck"))</f>
        <v>642.75675605882645</v>
      </c>
      <c r="E26" s="56">
        <f ca="1">INDIRECT(ADDRESS(D17+6,5,4,TRUE,"Heavy Truck"))</f>
        <v>620.39545906303897</v>
      </c>
      <c r="F26" s="56">
        <f ca="1">INDIRECT(ADDRESS(D17+6,6,4,TRUE,"Heavy Truck"))</f>
        <v>621.32383738757562</v>
      </c>
      <c r="G26" s="56">
        <f ca="1">INDIRECT(ADDRESS($D17+6,7,4,TRUE,"Heavy Truck"))</f>
        <v>635.71847683363285</v>
      </c>
      <c r="H26" s="56">
        <f ca="1">INDIRECT(ADDRESS($D17+6,8,4,TRUE,"Heavy Truck"))</f>
        <v>661.10320489409708</v>
      </c>
      <c r="I26" s="56">
        <f ca="1">INDIRECT(ADDRESS(D17+6,9,4,TRUE,"Heavy Truck"))</f>
        <v>675.39688889813942</v>
      </c>
      <c r="J26" s="56">
        <f ca="1">INDIRECT(ADDRESS(D17+6,10,4,TRUE,"Heavy Truck"))</f>
        <v>743.58922239240826</v>
      </c>
      <c r="K26" s="56">
        <f ca="1">INDIRECT(ADDRESS(D17+6,11,4,TRUE,"Heavy Truck"))</f>
        <v>783.12848681983291</v>
      </c>
      <c r="L26" s="56">
        <f ca="1">INDIRECT(ADDRESS(D17+6,12,4,TRUE,"Heavy Truck"))</f>
        <v>820.2690357548488</v>
      </c>
      <c r="M26" s="56">
        <f ca="1">INDIRECT(ADDRESS(D17+6,13,4,TRUE,"Heavy Truck"))</f>
        <v>848.92377021859397</v>
      </c>
      <c r="N26" s="56">
        <f ca="1">INDIRECT(ADDRESS(D17+6,14,4,TRUE,"Heavy Truck"))</f>
        <v>875.66943230663765</v>
      </c>
      <c r="O26" s="56">
        <f ca="1">INDIRECT(ADDRESS(D17+6,15,4,TRUE,"Heavy Truck"))</f>
        <v>901.21333057692368</v>
      </c>
      <c r="P26" s="56">
        <f ca="1">INDIRECT(ADDRESS(D17+6,16,4,TRUE,"Heavy Truck"))</f>
        <v>924.96778600320522</v>
      </c>
      <c r="Q26" s="57">
        <f ca="1">INDIRECT(ADDRESS(D17+6,17,4,TRUE,"Heavy Truck"))</f>
        <v>947.00544911771487</v>
      </c>
    </row>
    <row r="27" spans="3:17" ht="15.5" x14ac:dyDescent="0.35">
      <c r="C27" s="24" t="s">
        <v>44</v>
      </c>
      <c r="D27" s="55">
        <f ca="1">INDIRECT(ADDRESS(D17+6,4,4,TRUE,"Heavy Bus"))</f>
        <v>85.402371473777777</v>
      </c>
      <c r="E27" s="56">
        <f ca="1">INDIRECT(ADDRESS(D17+6,5,4,TRUE,"Heavy Bus"))</f>
        <v>88.715466881974692</v>
      </c>
      <c r="F27" s="56">
        <f ca="1">INDIRECT(ADDRESS(D17+6,6,4,TRUE,"Heavy Bus"))</f>
        <v>89.958725264677341</v>
      </c>
      <c r="G27" s="56">
        <f ca="1">INDIRECT(ADDRESS($D17+6,7,4,TRUE,"Heavy Bus"))</f>
        <v>91.803050625011281</v>
      </c>
      <c r="H27" s="56">
        <f ca="1">INDIRECT(ADDRESS($D17+6,8,4,TRUE,"Heavy Bus"))</f>
        <v>101.89383247207647</v>
      </c>
      <c r="I27" s="56">
        <f ca="1">INDIRECT(ADDRESS(D17+6,9,4,TRUE,"Heavy Bus"))</f>
        <v>109.00265974514878</v>
      </c>
      <c r="J27" s="56">
        <f ca="1">INDIRECT(ADDRESS(D17+6,10,4,TRUE,"Heavy Bus"))</f>
        <v>141.22245581067423</v>
      </c>
      <c r="K27" s="56">
        <f ca="1">INDIRECT(ADDRESS(D17+6,11,4,TRUE,"Heavy Bus"))</f>
        <v>168.42121283807901</v>
      </c>
      <c r="L27" s="56">
        <f ca="1">INDIRECT(ADDRESS(D17+6,12,4,TRUE,"Heavy Bus"))</f>
        <v>187.56734902619803</v>
      </c>
      <c r="M27" s="56">
        <f ca="1">INDIRECT(ADDRESS(D17+6,13,4,TRUE,"Heavy Bus"))</f>
        <v>207.8140284199747</v>
      </c>
      <c r="N27" s="56">
        <f ca="1">INDIRECT(ADDRESS(D17+6,14,4,TRUE,"Heavy Bus"))</f>
        <v>229.68908052763666</v>
      </c>
      <c r="O27" s="56">
        <f ca="1">INDIRECT(ADDRESS(D17+6,15,4,TRUE,"Heavy Bus"))</f>
        <v>258.47296739612909</v>
      </c>
      <c r="P27" s="56">
        <f ca="1">INDIRECT(ADDRESS(D17+6,16,4,TRUE,"Heavy Bus"))</f>
        <v>290.86917783982511</v>
      </c>
      <c r="Q27" s="57">
        <f ca="1">INDIRECT(ADDRESS(D17+6,17,4,TRUE,"Heavy Bus"))</f>
        <v>327.76204350409154</v>
      </c>
    </row>
    <row r="28" spans="3:17" ht="16" thickBot="1" x14ac:dyDescent="0.4">
      <c r="C28" s="24" t="s">
        <v>42</v>
      </c>
      <c r="D28" s="55">
        <f ca="1">INDIRECT(ADDRESS(D17+6,4,4,TRUE,"Motorcycle"))</f>
        <v>97.291044179389033</v>
      </c>
      <c r="E28" s="56">
        <f ca="1">INDIRECT(ADDRESS(D17+6,5,4,TRUE,"Motorcycle"))</f>
        <v>100.28100737595719</v>
      </c>
      <c r="F28" s="56">
        <f ca="1">INDIRECT(ADDRESS(D17+6,6,4,TRUE,"Motorcycle"))</f>
        <v>101.69226394154018</v>
      </c>
      <c r="G28" s="56">
        <f ca="1">INDIRECT(ADDRESS($D17+6,7,4,TRUE,"Motorcycle"))</f>
        <v>103.92799966050693</v>
      </c>
      <c r="H28" s="56">
        <f ca="1">INDIRECT(ADDRESS($D17+6,8,4,TRUE,"Motorcycle"))</f>
        <v>104.47605597583795</v>
      </c>
      <c r="I28" s="56">
        <f ca="1">INDIRECT(ADDRESS(D17+6,9,4,TRUE,"Motorcycle"))</f>
        <v>99.175813276426354</v>
      </c>
      <c r="J28" s="56">
        <f ca="1">INDIRECT(ADDRESS(D17+6,10,4,TRUE,"Motorcycle"))</f>
        <v>106.40529557680085</v>
      </c>
      <c r="K28" s="56">
        <f ca="1">INDIRECT(ADDRESS(D17+6,11,4,TRUE,"Motorcycle"))</f>
        <v>110.98801216948036</v>
      </c>
      <c r="L28" s="56">
        <f ca="1">INDIRECT(ADDRESS(D17+6,12,4,TRUE,"Motorcycle"))</f>
        <v>114.41828420091848</v>
      </c>
      <c r="M28" s="56">
        <f ca="1">INDIRECT(ADDRESS(D17+6,13,4,TRUE,"Motorcycle"))</f>
        <v>115.68777268985971</v>
      </c>
      <c r="N28" s="56">
        <f ca="1">INDIRECT(ADDRESS(D17+6,14,4,TRUE,"Motorcycle"))</f>
        <v>116.29978999029815</v>
      </c>
      <c r="O28" s="56">
        <f ca="1">INDIRECT(ADDRESS(D17+6,15,4,TRUE,"Motorcycle"))</f>
        <v>120.90254602666377</v>
      </c>
      <c r="P28" s="56">
        <f ca="1">INDIRECT(ADDRESS(D17+6,16,4,TRUE,"Motorcycle"))</f>
        <v>125.32045800618894</v>
      </c>
      <c r="Q28" s="57">
        <f ca="1">INDIRECT(ADDRESS(D17+6,17,4,TRUE,"Motorcycle"))</f>
        <v>129.65390871100044</v>
      </c>
    </row>
    <row r="29" spans="3:17" ht="16.5" thickTop="1" thickBot="1" x14ac:dyDescent="0.4">
      <c r="C29" s="31" t="s">
        <v>45</v>
      </c>
      <c r="D29" s="61">
        <f ca="1">SUM(D22:D28)</f>
        <v>12281.482706897108</v>
      </c>
      <c r="E29" s="62">
        <f t="shared" ref="E29:N29" ca="1" si="2">SUM(E22:E28)</f>
        <v>12467.994678717776</v>
      </c>
      <c r="F29" s="62">
        <f t="shared" ca="1" si="2"/>
        <v>12699.206275751019</v>
      </c>
      <c r="G29" s="62">
        <f t="shared" ca="1" si="2"/>
        <v>13049.163350678584</v>
      </c>
      <c r="H29" s="62">
        <f t="shared" ca="1" si="2"/>
        <v>13618.40058301832</v>
      </c>
      <c r="I29" s="62">
        <f t="shared" ca="1" si="2"/>
        <v>13613.679011829716</v>
      </c>
      <c r="J29" s="62">
        <f t="shared" ca="1" si="2"/>
        <v>14871.451552381117</v>
      </c>
      <c r="K29" s="62">
        <f t="shared" ca="1" si="2"/>
        <v>15971.732503853829</v>
      </c>
      <c r="L29" s="62">
        <f t="shared" ca="1" si="2"/>
        <v>17092.719071338513</v>
      </c>
      <c r="M29" s="62">
        <f t="shared" ca="1" si="2"/>
        <v>18132.188347001316</v>
      </c>
      <c r="N29" s="62">
        <f t="shared" ca="1" si="2"/>
        <v>19192.602717919388</v>
      </c>
      <c r="O29" s="62">
        <f t="shared" ref="O29:Q29" ca="1" si="3">SUM(O22:O28)</f>
        <v>20303.351760154288</v>
      </c>
      <c r="P29" s="62">
        <f t="shared" ca="1" si="3"/>
        <v>21408.845462248613</v>
      </c>
      <c r="Q29" s="63">
        <f t="shared" ca="1" si="3"/>
        <v>22494.619835173202</v>
      </c>
    </row>
    <row r="30" spans="3:17" ht="13" thickTop="1" x14ac:dyDescent="0.25">
      <c r="L30"/>
      <c r="N30" s="121"/>
    </row>
    <row r="31" spans="3:17" ht="13" thickBot="1" x14ac:dyDescent="0.3">
      <c r="L31"/>
      <c r="N31" s="121"/>
    </row>
    <row r="32" spans="3:17" ht="16.5" thickTop="1" thickBot="1" x14ac:dyDescent="0.4">
      <c r="C32" s="180" t="str">
        <f ca="1">INDIRECT(ADDRESS(D32+6,3,4,TRUE,"Car+SUV"))</f>
        <v>Waikato</v>
      </c>
      <c r="D32" s="182">
        <v>3</v>
      </c>
      <c r="E32" t="s">
        <v>170</v>
      </c>
      <c r="L32"/>
      <c r="N32" s="121"/>
    </row>
    <row r="33" spans="3:17" ht="13.5" thickTop="1" thickBot="1" x14ac:dyDescent="0.3">
      <c r="L33"/>
      <c r="N33" s="121"/>
    </row>
    <row r="34" spans="3:17" ht="16" thickTop="1" x14ac:dyDescent="0.35">
      <c r="C34" s="32" t="s">
        <v>47</v>
      </c>
      <c r="D34" s="33"/>
      <c r="E34" s="33"/>
      <c r="F34" s="33"/>
      <c r="G34" s="33"/>
      <c r="H34" s="33"/>
      <c r="I34" s="33"/>
      <c r="J34" s="34"/>
      <c r="K34" s="34"/>
      <c r="L34" s="34"/>
      <c r="M34" s="34"/>
      <c r="N34" s="34"/>
      <c r="O34" s="34"/>
      <c r="P34" s="34"/>
      <c r="Q34" s="35"/>
    </row>
    <row r="35" spans="3:17" ht="13.5" thickBot="1" x14ac:dyDescent="0.35">
      <c r="C35" s="36"/>
      <c r="D35" s="37" t="s">
        <v>25</v>
      </c>
      <c r="E35" s="37" t="s">
        <v>37</v>
      </c>
      <c r="F35" s="37" t="s">
        <v>38</v>
      </c>
      <c r="G35" s="37" t="s">
        <v>177</v>
      </c>
      <c r="H35" s="37" t="s">
        <v>178</v>
      </c>
      <c r="I35" s="37" t="s">
        <v>26</v>
      </c>
      <c r="J35" s="37" t="s">
        <v>27</v>
      </c>
      <c r="K35" s="37" t="s">
        <v>28</v>
      </c>
      <c r="L35" s="37" t="s">
        <v>29</v>
      </c>
      <c r="M35" s="37" t="s">
        <v>30</v>
      </c>
      <c r="N35" s="37" t="s">
        <v>31</v>
      </c>
      <c r="O35" s="37" t="s">
        <v>174</v>
      </c>
      <c r="P35" s="37" t="s">
        <v>175</v>
      </c>
      <c r="Q35" s="38" t="s">
        <v>176</v>
      </c>
    </row>
    <row r="36" spans="3:17" ht="14" thickTop="1" thickBot="1" x14ac:dyDescent="0.35">
      <c r="C36" s="70"/>
      <c r="D36" s="71" t="s">
        <v>39</v>
      </c>
      <c r="E36" s="65" t="s">
        <v>39</v>
      </c>
      <c r="F36" s="65" t="s">
        <v>39</v>
      </c>
      <c r="G36" s="65" t="s">
        <v>39</v>
      </c>
      <c r="H36" s="65" t="s">
        <v>39</v>
      </c>
      <c r="I36" s="65" t="s">
        <v>39</v>
      </c>
      <c r="J36" s="65" t="s">
        <v>32</v>
      </c>
      <c r="K36" s="65" t="s">
        <v>32</v>
      </c>
      <c r="L36" s="65" t="s">
        <v>32</v>
      </c>
      <c r="M36" s="65" t="s">
        <v>32</v>
      </c>
      <c r="N36" s="65" t="s">
        <v>32</v>
      </c>
      <c r="O36" s="65" t="s">
        <v>32</v>
      </c>
      <c r="P36" s="65" t="s">
        <v>32</v>
      </c>
      <c r="Q36" s="66" t="s">
        <v>32</v>
      </c>
    </row>
    <row r="37" spans="3:17" ht="16" thickTop="1" x14ac:dyDescent="0.35">
      <c r="C37" s="24" t="s">
        <v>113</v>
      </c>
      <c r="D37" s="55">
        <f ca="1">INDIRECT(ADDRESS(D32+6,4,4,TRUE,"Car+SUV"))-D39</f>
        <v>3847.9924846079252</v>
      </c>
      <c r="E37" s="53">
        <f ca="1">INDIRECT(ADDRESS(D32+6,5,4,TRUE,"Car+SUV"))-E39</f>
        <v>3761.7903051028434</v>
      </c>
      <c r="F37" s="53">
        <f ca="1">INDIRECT(ADDRESS(D32+6,6,4,TRUE,"Car+SUV"))-F39</f>
        <v>3904.3226732659896</v>
      </c>
      <c r="G37" s="53">
        <f ca="1">INDIRECT(ADDRESS($D32+6,7,4,TRUE,"Car+SUV"))-G39</f>
        <v>4115.1287077191664</v>
      </c>
      <c r="H37" s="53">
        <f ca="1">INDIRECT(ADDRESS($D32+6,8,4,TRUE,"Car+SUV"))-H39</f>
        <v>4311.4711308588949</v>
      </c>
      <c r="I37" s="53">
        <f ca="1">INDIRECT(ADDRESS(D32+6,9,4,TRUE,"Car+SUV"))-I39</f>
        <v>4582.169932800748</v>
      </c>
      <c r="J37" s="53">
        <f ca="1">INDIRECT(ADDRESS(D32+6,10,4,TRUE,"Car+SUV"))-J39</f>
        <v>4893.5635776550862</v>
      </c>
      <c r="K37" s="53">
        <f ca="1">INDIRECT(ADDRESS(D32+6,11,4,TRUE,"Car+SUV"))-K39</f>
        <v>4732.8879394238083</v>
      </c>
      <c r="L37" s="53">
        <f ca="1">INDIRECT(ADDRESS(D32+6,12,4,TRUE,"Car+SUV"))-L39</f>
        <v>4513.295836356865</v>
      </c>
      <c r="M37" s="53">
        <f ca="1">INDIRECT(ADDRESS(D32+6,13,4,TRUE,"Car+SUV"))-M39</f>
        <v>4228.0663755617643</v>
      </c>
      <c r="N37" s="53">
        <f ca="1">INDIRECT(ADDRESS(D32+6,14,4,TRUE,"Car+SUV"))-N39</f>
        <v>3914.132572917968</v>
      </c>
      <c r="O37" s="53">
        <f ca="1">INDIRECT(ADDRESS(D32+6,15,4,TRUE,"Car+SUV"))-O39</f>
        <v>3581.8109415957861</v>
      </c>
      <c r="P37" s="53">
        <f ca="1">INDIRECT(ADDRESS(D32+6,16,4,TRUE,"Car+SUV"))-P39</f>
        <v>3226.4037084426077</v>
      </c>
      <c r="Q37" s="54">
        <f ca="1">INDIRECT(ADDRESS(D32+6,17,4,TRUE,"Car+SUV"))-Q39</f>
        <v>2849.3213586925704</v>
      </c>
    </row>
    <row r="38" spans="3:17" ht="15.5" x14ac:dyDescent="0.35">
      <c r="C38" s="24" t="s">
        <v>114</v>
      </c>
      <c r="D38" s="55">
        <f ca="1">INDIRECT(ADDRESS(D32+6,4,4,TRUE,"Van+Ute"))-D40</f>
        <v>868.31269358743691</v>
      </c>
      <c r="E38" s="56">
        <f ca="1">INDIRECT(ADDRESS(D32+6,5,4,TRUE,"Van+Ute"))-E40</f>
        <v>884.02861773513484</v>
      </c>
      <c r="F38" s="56">
        <f ca="1">INDIRECT(ADDRESS(D32+6,6,4,TRUE,"Van+Ute"))-F40</f>
        <v>964.22166946926677</v>
      </c>
      <c r="G38" s="56">
        <f ca="1">INDIRECT(ADDRESS($D32+6,7,4,TRUE,"Van+Ute"))-G40</f>
        <v>1029.3033100962391</v>
      </c>
      <c r="H38" s="56">
        <f ca="1">INDIRECT(ADDRESS($D32+6,8,4,TRUE,"Van+Ute"))-H40</f>
        <v>1132.8073949130373</v>
      </c>
      <c r="I38" s="56">
        <f ca="1">INDIRECT(ADDRESS(D32+6,9,4,TRUE,"Van+Ute"))-I40</f>
        <v>1302.7538106767163</v>
      </c>
      <c r="J38" s="56">
        <f ca="1">INDIRECT(ADDRESS(D32+6,10,4,TRUE,"Van+Ute"))-J40</f>
        <v>1432.7872615253768</v>
      </c>
      <c r="K38" s="56">
        <f ca="1">INDIRECT(ADDRESS(D32+6,11,4,TRUE,"Van+Ute"))-K40</f>
        <v>1477.1094630479336</v>
      </c>
      <c r="L38" s="56">
        <f ca="1">INDIRECT(ADDRESS(D32+6,12,4,TRUE,"Van+Ute"))-L40</f>
        <v>1511.5792712123716</v>
      </c>
      <c r="M38" s="56">
        <f ca="1">INDIRECT(ADDRESS(D32+6,13,4,TRUE,"Van+Ute"))-M40</f>
        <v>1539.4798432893476</v>
      </c>
      <c r="N38" s="56">
        <f ca="1">INDIRECT(ADDRESS(D32+6,14,4,TRUE,"Van+Ute"))-N40</f>
        <v>1569.806185083537</v>
      </c>
      <c r="O38" s="56">
        <f ca="1">INDIRECT(ADDRESS(D32+6,15,4,TRUE,"Van+Ute"))-O40</f>
        <v>1602.2603983223523</v>
      </c>
      <c r="P38" s="56">
        <f ca="1">INDIRECT(ADDRESS(D32+6,16,4,TRUE,"Van+Ute"))-P40</f>
        <v>1630.224596494802</v>
      </c>
      <c r="Q38" s="57">
        <f ca="1">INDIRECT(ADDRESS(D32+6,17,4,TRUE,"Van+Ute"))-Q40</f>
        <v>1650.2204691399147</v>
      </c>
    </row>
    <row r="39" spans="3:17" ht="15.5" x14ac:dyDescent="0.35">
      <c r="C39" s="24" t="s">
        <v>115</v>
      </c>
      <c r="D39" s="55">
        <f ca="1">INDIRECT(ADDRESS(D32+130,4,4,TRUE,"Car+SUV"))</f>
        <v>13.024773190456441</v>
      </c>
      <c r="E39" s="56">
        <f ca="1">INDIRECT(ADDRESS(D32+130,5,4,TRUE,"Car+SUV"))</f>
        <v>12.093344491396108</v>
      </c>
      <c r="F39" s="56">
        <f ca="1">INDIRECT(ADDRESS(D32+130,6,4,TRUE,"Car+SUV"))</f>
        <v>11.659786885631881</v>
      </c>
      <c r="G39" s="56">
        <f ca="1">INDIRECT(ADDRESS($D32+130,7,4,TRUE,"Car+SUV"))</f>
        <v>12.602472926258594</v>
      </c>
      <c r="H39" s="56">
        <f ca="1">INDIRECT(ADDRESS($D32+130,8,4,TRUE,"Car+SUV"))</f>
        <v>14.392572112659755</v>
      </c>
      <c r="I39" s="56">
        <f ca="1">INDIRECT(ADDRESS(D32+130,9,4,TRUE,"Car+SUV"))</f>
        <v>19.976879039955708</v>
      </c>
      <c r="J39" s="56">
        <f ca="1">INDIRECT(ADDRESS(D32+130,10,4,TRUE,"Car+SUV"))</f>
        <v>23.477833021376949</v>
      </c>
      <c r="K39" s="56">
        <f ca="1">INDIRECT(ADDRESS(D32+130,11,4,TRUE,"Car+SUV"))</f>
        <v>464.72745171562411</v>
      </c>
      <c r="L39" s="56">
        <f ca="1">INDIRECT(ADDRESS(D32+130,12,4,TRUE,"Car+SUV"))</f>
        <v>939.81336560303316</v>
      </c>
      <c r="M39" s="56">
        <f ca="1">INDIRECT(ADDRESS(D32+130,13,4,TRUE,"Car+SUV"))</f>
        <v>1433.0402686085702</v>
      </c>
      <c r="N39" s="56">
        <f ca="1">INDIRECT(ADDRESS(D32+130,14,4,TRUE,"Car+SUV"))</f>
        <v>1940.7946399257487</v>
      </c>
      <c r="O39" s="56">
        <f ca="1">INDIRECT(ADDRESS(D32+130,15,4,TRUE,"Car+SUV"))</f>
        <v>2461.5434353022738</v>
      </c>
      <c r="P39" s="56">
        <f ca="1">INDIRECT(ADDRESS(D32+130,16,4,TRUE,"Car+SUV"))</f>
        <v>2990.4096189773732</v>
      </c>
      <c r="Q39" s="57">
        <f ca="1">INDIRECT(ADDRESS(D32+130,17,4,TRUE,"Car+SUV"))</f>
        <v>3526.1994403659628</v>
      </c>
    </row>
    <row r="40" spans="3:17" ht="15.5" x14ac:dyDescent="0.35">
      <c r="C40" s="24" t="s">
        <v>116</v>
      </c>
      <c r="D40" s="55">
        <f ca="1">INDIRECT(ADDRESS(D32+130,4,4,TRUE,"Van+Ute"))</f>
        <v>6.7015468266807012</v>
      </c>
      <c r="E40" s="56">
        <f ca="1">INDIRECT(ADDRESS(D32+130,5,4,TRUE,"Van+Ute"))</f>
        <v>6.8449134925873842</v>
      </c>
      <c r="F40" s="56">
        <f ca="1">INDIRECT(ADDRESS(D32+130,6,4,TRUE,"Van+Ute"))</f>
        <v>7.0089014511039371</v>
      </c>
      <c r="G40" s="56">
        <f ca="1">INDIRECT(ADDRESS($D32+130,7,4,TRUE,"Van+Ute"))</f>
        <v>7.2110971783858417</v>
      </c>
      <c r="H40" s="56">
        <f ca="1">INDIRECT(ADDRESS($D32+130,8,4,TRUE,"Van+Ute"))</f>
        <v>8.6694360654512526</v>
      </c>
      <c r="I40" s="56">
        <f ca="1">INDIRECT(ADDRESS(D32+130,9,4,TRUE,"Van+Ute"))</f>
        <v>8.6981560391589721</v>
      </c>
      <c r="J40" s="56">
        <f ca="1">INDIRECT(ADDRESS(D32+130,10,4,TRUE,"Van+Ute"))</f>
        <v>10.222510466865629</v>
      </c>
      <c r="K40" s="56">
        <f ca="1">INDIRECT(ADDRESS(D32+130,11,4,TRUE,"Van+Ute"))</f>
        <v>85.282001374432312</v>
      </c>
      <c r="L40" s="56">
        <f ca="1">INDIRECT(ADDRESS(D32+130,12,4,TRUE,"Van+Ute"))</f>
        <v>166.0093538398564</v>
      </c>
      <c r="M40" s="56">
        <f ca="1">INDIRECT(ADDRESS(D32+130,13,4,TRUE,"Van+Ute"))</f>
        <v>249.796154879878</v>
      </c>
      <c r="N40" s="56">
        <f ca="1">INDIRECT(ADDRESS(D32+130,14,4,TRUE,"Van+Ute"))</f>
        <v>336.10736169855403</v>
      </c>
      <c r="O40" s="56">
        <f ca="1">INDIRECT(ADDRESS(D32+130,15,4,TRUE,"Van+Ute"))</f>
        <v>424.55896377281948</v>
      </c>
      <c r="P40" s="56">
        <f ca="1">INDIRECT(ADDRESS(D32+130,16,4,TRUE,"Van+Ute"))</f>
        <v>514.46153209262422</v>
      </c>
      <c r="Q40" s="57">
        <f ca="1">INDIRECT(ADDRESS(D32+130,17,4,TRUE,"Van+Ute"))</f>
        <v>605.62605278778472</v>
      </c>
    </row>
    <row r="41" spans="3:17" ht="15.5" x14ac:dyDescent="0.35">
      <c r="C41" s="24" t="s">
        <v>43</v>
      </c>
      <c r="D41" s="55">
        <f ca="1">INDIRECT(ADDRESS(D32+6,4,4,TRUE,"Heavy Truck"))</f>
        <v>344.892919704458</v>
      </c>
      <c r="E41" s="56">
        <f ca="1">INDIRECT(ADDRESS(D32+6,5,4,TRUE,"Heavy Truck"))</f>
        <v>390.39041080250428</v>
      </c>
      <c r="F41" s="56">
        <f ca="1">INDIRECT(ADDRESS(D32+6,6,4,TRUE,"Heavy Truck"))</f>
        <v>406.30331344723265</v>
      </c>
      <c r="G41" s="56">
        <f ca="1">INDIRECT(ADDRESS($D32+6,7,4,TRUE,"Heavy Truck"))</f>
        <v>417.32085698264092</v>
      </c>
      <c r="H41" s="56">
        <f ca="1">INDIRECT(ADDRESS($D32+6,8,4,TRUE,"Heavy Truck"))</f>
        <v>433.93649280746615</v>
      </c>
      <c r="I41" s="56">
        <f ca="1">INDIRECT(ADDRESS(D32+6,9,4,TRUE,"Heavy Truck"))</f>
        <v>471.13710397466707</v>
      </c>
      <c r="J41" s="56">
        <f ca="1">INDIRECT(ADDRESS(D32+6,10,4,TRUE,"Heavy Truck"))</f>
        <v>508.67606247303064</v>
      </c>
      <c r="K41" s="56">
        <f ca="1">INDIRECT(ADDRESS(D32+6,11,4,TRUE,"Heavy Truck"))</f>
        <v>524.65840015238723</v>
      </c>
      <c r="L41" s="56">
        <f ca="1">INDIRECT(ADDRESS(D32+6,12,4,TRUE,"Heavy Truck"))</f>
        <v>539.54490431902332</v>
      </c>
      <c r="M41" s="56">
        <f ca="1">INDIRECT(ADDRESS(D32+6,13,4,TRUE,"Heavy Truck"))</f>
        <v>544.08523904687559</v>
      </c>
      <c r="N41" s="56">
        <f ca="1">INDIRECT(ADDRESS(D32+6,14,4,TRUE,"Heavy Truck"))</f>
        <v>548.07463287042447</v>
      </c>
      <c r="O41" s="56">
        <f ca="1">INDIRECT(ADDRESS(D32+6,15,4,TRUE,"Heavy Truck"))</f>
        <v>551.6011161354819</v>
      </c>
      <c r="P41" s="56">
        <f ca="1">INDIRECT(ADDRESS(D32+6,16,4,TRUE,"Heavy Truck"))</f>
        <v>554.62142529679647</v>
      </c>
      <c r="Q41" s="57">
        <f ca="1">INDIRECT(ADDRESS(D32+6,17,4,TRUE,"Heavy Truck"))</f>
        <v>557.15835463533222</v>
      </c>
    </row>
    <row r="42" spans="3:17" ht="15.5" x14ac:dyDescent="0.35">
      <c r="C42" s="24" t="s">
        <v>44</v>
      </c>
      <c r="D42" s="55">
        <f ca="1">INDIRECT(ADDRESS(D32+6,4,4,TRUE,"Heavy Bus"))</f>
        <v>19.836624405115462</v>
      </c>
      <c r="E42" s="56">
        <f ca="1">INDIRECT(ADDRESS(D32+6,5,4,TRUE,"Heavy Bus"))</f>
        <v>20.79901394805454</v>
      </c>
      <c r="F42" s="56">
        <f ca="1">INDIRECT(ADDRESS(D32+6,6,4,TRUE,"Heavy Bus"))</f>
        <v>20.835262851845872</v>
      </c>
      <c r="G42" s="56">
        <f ca="1">INDIRECT(ADDRESS($D32+6,7,4,TRUE,"Heavy Bus"))</f>
        <v>22.413106218844494</v>
      </c>
      <c r="H42" s="56">
        <f ca="1">INDIRECT(ADDRESS($D32+6,8,4,TRUE,"Heavy Bus"))</f>
        <v>22.969028075780507</v>
      </c>
      <c r="I42" s="56">
        <f ca="1">INDIRECT(ADDRESS(D32+6,9,4,TRUE,"Heavy Bus"))</f>
        <v>23.356702300965829</v>
      </c>
      <c r="J42" s="56">
        <f ca="1">INDIRECT(ADDRESS(D32+6,10,4,TRUE,"Heavy Bus"))</f>
        <v>27.7875983129214</v>
      </c>
      <c r="K42" s="56">
        <f ca="1">INDIRECT(ADDRESS(D32+6,11,4,TRUE,"Heavy Bus"))</f>
        <v>31.610883200327486</v>
      </c>
      <c r="L42" s="56">
        <f ca="1">INDIRECT(ADDRESS(D32+6,12,4,TRUE,"Heavy Bus"))</f>
        <v>35.332085749827911</v>
      </c>
      <c r="M42" s="56">
        <f ca="1">INDIRECT(ADDRESS(D32+6,13,4,TRUE,"Heavy Bus"))</f>
        <v>39.73617625009647</v>
      </c>
      <c r="N42" s="56">
        <f ca="1">INDIRECT(ADDRESS(D32+6,14,4,TRUE,"Heavy Bus"))</f>
        <v>44.830335799076579</v>
      </c>
      <c r="O42" s="56">
        <f ca="1">INDIRECT(ADDRESS(D32+6,15,4,TRUE,"Heavy Bus"))</f>
        <v>51.015817784389441</v>
      </c>
      <c r="P42" s="56">
        <f ca="1">INDIRECT(ADDRESS(D32+6,16,4,TRUE,"Heavy Bus"))</f>
        <v>58.145971716250884</v>
      </c>
      <c r="Q42" s="57">
        <f ca="1">INDIRECT(ADDRESS(D32+6,17,4,TRUE,"Heavy Bus"))</f>
        <v>66.380902365414812</v>
      </c>
    </row>
    <row r="43" spans="3:17" ht="16" thickBot="1" x14ac:dyDescent="0.4">
      <c r="C43" s="24" t="s">
        <v>42</v>
      </c>
      <c r="D43" s="55">
        <f ca="1">INDIRECT(ADDRESS(D32+6,4,4,TRUE,"Motorcycle"))</f>
        <v>46.908260132153586</v>
      </c>
      <c r="E43" s="56">
        <f ca="1">INDIRECT(ADDRESS(D32+6,5,4,TRUE,"Motorcycle"))</f>
        <v>47.513629797834014</v>
      </c>
      <c r="F43" s="56">
        <f ca="1">INDIRECT(ADDRESS(D32+6,6,4,TRUE,"Motorcycle"))</f>
        <v>47.636998519517796</v>
      </c>
      <c r="G43" s="56">
        <f ca="1">INDIRECT(ADDRESS($D32+6,7,4,TRUE,"Motorcycle"))</f>
        <v>49.388635650559948</v>
      </c>
      <c r="H43" s="56">
        <f ca="1">INDIRECT(ADDRESS($D32+6,8,4,TRUE,"Motorcycle"))</f>
        <v>50.55125646295086</v>
      </c>
      <c r="I43" s="56">
        <f ca="1">INDIRECT(ADDRESS(D32+6,9,4,TRUE,"Motorcycle"))</f>
        <v>53.250336718380645</v>
      </c>
      <c r="J43" s="56">
        <f ca="1">INDIRECT(ADDRESS(D32+6,10,4,TRUE,"Motorcycle"))</f>
        <v>56.097655071946008</v>
      </c>
      <c r="K43" s="56">
        <f ca="1">INDIRECT(ADDRESS(D32+6,11,4,TRUE,"Motorcycle"))</f>
        <v>57.66693199408374</v>
      </c>
      <c r="L43" s="56">
        <f ca="1">INDIRECT(ADDRESS(D32+6,12,4,TRUE,"Motorcycle"))</f>
        <v>58.559230005709033</v>
      </c>
      <c r="M43" s="56">
        <f ca="1">INDIRECT(ADDRESS(D32+6,13,4,TRUE,"Motorcycle"))</f>
        <v>58.310043560477872</v>
      </c>
      <c r="N43" s="56">
        <f ca="1">INDIRECT(ADDRESS(D32+6,14,4,TRUE,"Motorcycle"))</f>
        <v>57.715041980057023</v>
      </c>
      <c r="O43" s="56">
        <f ca="1">INDIRECT(ADDRESS(D32+6,15,4,TRUE,"Motorcycle"))</f>
        <v>59.056936374422939</v>
      </c>
      <c r="P43" s="56">
        <f ca="1">INDIRECT(ADDRESS(D32+6,16,4,TRUE,"Motorcycle"))</f>
        <v>60.235790275593871</v>
      </c>
      <c r="Q43" s="57">
        <f ca="1">INDIRECT(ADDRESS(D32+6,17,4,TRUE,"Motorcycle"))</f>
        <v>61.303849778608672</v>
      </c>
    </row>
    <row r="44" spans="3:17" ht="16.5" thickTop="1" thickBot="1" x14ac:dyDescent="0.4">
      <c r="C44" s="31" t="s">
        <v>45</v>
      </c>
      <c r="D44" s="61">
        <f ca="1">SUM(D37:D43)</f>
        <v>5147.6693024542265</v>
      </c>
      <c r="E44" s="62">
        <f t="shared" ref="E44:N44" ca="1" si="4">SUM(E37:E43)</f>
        <v>5123.4602353703549</v>
      </c>
      <c r="F44" s="62">
        <f t="shared" ca="1" si="4"/>
        <v>5361.9886058905886</v>
      </c>
      <c r="G44" s="62">
        <f t="shared" ca="1" si="4"/>
        <v>5653.3681867720961</v>
      </c>
      <c r="H44" s="62">
        <f t="shared" ca="1" si="4"/>
        <v>5974.7973112962409</v>
      </c>
      <c r="I44" s="62">
        <f t="shared" ca="1" si="4"/>
        <v>6461.3429215505921</v>
      </c>
      <c r="J44" s="62">
        <f t="shared" ca="1" si="4"/>
        <v>6952.6124985266033</v>
      </c>
      <c r="K44" s="62">
        <f t="shared" ca="1" si="4"/>
        <v>7373.9430709085964</v>
      </c>
      <c r="L44" s="62">
        <f t="shared" ca="1" si="4"/>
        <v>7764.1340470866853</v>
      </c>
      <c r="M44" s="62">
        <f t="shared" ca="1" si="4"/>
        <v>8092.514101197009</v>
      </c>
      <c r="N44" s="62">
        <f t="shared" ca="1" si="4"/>
        <v>8411.4607702753656</v>
      </c>
      <c r="O44" s="62">
        <f t="shared" ref="O44:Q44" ca="1" si="5">SUM(O37:O43)</f>
        <v>8731.847609287528</v>
      </c>
      <c r="P44" s="62">
        <f t="shared" ca="1" si="5"/>
        <v>9034.5026432960476</v>
      </c>
      <c r="Q44" s="63">
        <f t="shared" ca="1" si="5"/>
        <v>9316.2104277655872</v>
      </c>
    </row>
    <row r="45" spans="3:17" ht="13" thickTop="1" x14ac:dyDescent="0.25">
      <c r="L45"/>
      <c r="N45" s="121"/>
    </row>
    <row r="46" spans="3:17" ht="13" thickBot="1" x14ac:dyDescent="0.3">
      <c r="L46"/>
      <c r="N46" s="121"/>
    </row>
    <row r="47" spans="3:17" ht="16.5" thickTop="1" thickBot="1" x14ac:dyDescent="0.4">
      <c r="C47" s="180" t="str">
        <f ca="1">INDIRECT(ADDRESS(D47+6,3,4,TRUE,"Car+SUV"))</f>
        <v>Bay of Plenty</v>
      </c>
      <c r="D47" s="182">
        <v>4</v>
      </c>
      <c r="E47" t="s">
        <v>170</v>
      </c>
      <c r="L47"/>
      <c r="N47" s="121"/>
    </row>
    <row r="48" spans="3:17" ht="13.5" thickTop="1" thickBot="1" x14ac:dyDescent="0.3">
      <c r="L48"/>
      <c r="N48" s="121"/>
    </row>
    <row r="49" spans="3:17" ht="16" thickTop="1" x14ac:dyDescent="0.35">
      <c r="C49" s="32" t="s">
        <v>47</v>
      </c>
      <c r="D49" s="33"/>
      <c r="E49" s="33"/>
      <c r="F49" s="33"/>
      <c r="G49" s="33"/>
      <c r="H49" s="33"/>
      <c r="I49" s="33"/>
      <c r="J49" s="34"/>
      <c r="K49" s="34"/>
      <c r="L49" s="34"/>
      <c r="M49" s="34"/>
      <c r="N49" s="34"/>
      <c r="O49" s="34"/>
      <c r="P49" s="34"/>
      <c r="Q49" s="35"/>
    </row>
    <row r="50" spans="3:17" ht="13.5" thickBot="1" x14ac:dyDescent="0.35">
      <c r="C50" s="36"/>
      <c r="D50" s="37" t="s">
        <v>25</v>
      </c>
      <c r="E50" s="37" t="s">
        <v>37</v>
      </c>
      <c r="F50" s="37" t="s">
        <v>38</v>
      </c>
      <c r="G50" s="37" t="s">
        <v>177</v>
      </c>
      <c r="H50" s="37" t="s">
        <v>178</v>
      </c>
      <c r="I50" s="37" t="s">
        <v>26</v>
      </c>
      <c r="J50" s="37" t="s">
        <v>27</v>
      </c>
      <c r="K50" s="37" t="s">
        <v>28</v>
      </c>
      <c r="L50" s="37" t="s">
        <v>29</v>
      </c>
      <c r="M50" s="37" t="s">
        <v>30</v>
      </c>
      <c r="N50" s="37" t="s">
        <v>31</v>
      </c>
      <c r="O50" s="37" t="s">
        <v>174</v>
      </c>
      <c r="P50" s="37" t="s">
        <v>175</v>
      </c>
      <c r="Q50" s="38" t="s">
        <v>176</v>
      </c>
    </row>
    <row r="51" spans="3:17" ht="14" thickTop="1" thickBot="1" x14ac:dyDescent="0.35">
      <c r="C51" s="70"/>
      <c r="D51" s="71" t="s">
        <v>39</v>
      </c>
      <c r="E51" s="65" t="s">
        <v>39</v>
      </c>
      <c r="F51" s="65" t="s">
        <v>39</v>
      </c>
      <c r="G51" s="65" t="s">
        <v>39</v>
      </c>
      <c r="H51" s="65" t="s">
        <v>39</v>
      </c>
      <c r="I51" s="65" t="s">
        <v>39</v>
      </c>
      <c r="J51" s="65" t="s">
        <v>32</v>
      </c>
      <c r="K51" s="65" t="s">
        <v>32</v>
      </c>
      <c r="L51" s="65" t="s">
        <v>32</v>
      </c>
      <c r="M51" s="65" t="s">
        <v>32</v>
      </c>
      <c r="N51" s="65" t="s">
        <v>32</v>
      </c>
      <c r="O51" s="65" t="s">
        <v>32</v>
      </c>
      <c r="P51" s="65" t="s">
        <v>32</v>
      </c>
      <c r="Q51" s="66" t="s">
        <v>32</v>
      </c>
    </row>
    <row r="52" spans="3:17" ht="16" thickTop="1" x14ac:dyDescent="0.35">
      <c r="C52" s="24" t="s">
        <v>113</v>
      </c>
      <c r="D52" s="55">
        <f ca="1">INDIRECT(ADDRESS(D47+6,4,4,TRUE,"Car+SUV"))-D54</f>
        <v>1887.0178197781008</v>
      </c>
      <c r="E52" s="53">
        <f ca="1">INDIRECT(ADDRESS(D47+6,5,4,TRUE,"Car+SUV"))-E54</f>
        <v>1951.0323401806124</v>
      </c>
      <c r="F52" s="53">
        <f ca="1">INDIRECT(ADDRESS(D47+6,6,4,TRUE,"Car+SUV"))-F54</f>
        <v>1950.6861996643979</v>
      </c>
      <c r="G52" s="53">
        <f ca="1">INDIRECT(ADDRESS($D47+6,7,4,TRUE,"Car+SUV"))-G54</f>
        <v>2019.2987756661096</v>
      </c>
      <c r="H52" s="53">
        <f ca="1">INDIRECT(ADDRESS($D47+6,8,4,TRUE,"Car+SUV"))-H54</f>
        <v>2272.7095556341687</v>
      </c>
      <c r="I52" s="53">
        <f ca="1">INDIRECT(ADDRESS(D47+6,9,4,TRUE,"Car+SUV"))-I54</f>
        <v>2288.9756791924328</v>
      </c>
      <c r="J52" s="53">
        <f ca="1">INDIRECT(ADDRESS(D47+6,10,4,TRUE,"Car+SUV"))-J54</f>
        <v>2421.2783592687674</v>
      </c>
      <c r="K52" s="53">
        <f ca="1">INDIRECT(ADDRESS(D47+6,11,4,TRUE,"Car+SUV"))-K54</f>
        <v>2321.4505315474958</v>
      </c>
      <c r="L52" s="53">
        <f ca="1">INDIRECT(ADDRESS(D47+6,12,4,TRUE,"Car+SUV"))-L54</f>
        <v>2194.210530895009</v>
      </c>
      <c r="M52" s="53">
        <f ca="1">INDIRECT(ADDRESS(D47+6,13,4,TRUE,"Car+SUV"))-M54</f>
        <v>2035.9951665764022</v>
      </c>
      <c r="N52" s="53">
        <f ca="1">INDIRECT(ADDRESS(D47+6,14,4,TRUE,"Car+SUV"))-N54</f>
        <v>1866.145413742978</v>
      </c>
      <c r="O52" s="53">
        <f ca="1">INDIRECT(ADDRESS(D47+6,15,4,TRUE,"Car+SUV"))-O54</f>
        <v>1689.470324959791</v>
      </c>
      <c r="P52" s="53">
        <f ca="1">INDIRECT(ADDRESS(D47+6,16,4,TRUE,"Car+SUV"))-P54</f>
        <v>1504.2134849554302</v>
      </c>
      <c r="Q52" s="54">
        <f ca="1">INDIRECT(ADDRESS(D47+6,17,4,TRUE,"Car+SUV"))-Q54</f>
        <v>1311.4134434014707</v>
      </c>
    </row>
    <row r="53" spans="3:17" ht="15.5" x14ac:dyDescent="0.35">
      <c r="C53" s="24" t="s">
        <v>114</v>
      </c>
      <c r="D53" s="55">
        <f ca="1">INDIRECT(ADDRESS(D47+6,4,4,TRUE,"Van+Ute"))-D55</f>
        <v>467.82395102729811</v>
      </c>
      <c r="E53" s="56">
        <f ca="1">INDIRECT(ADDRESS(D47+6,5,4,TRUE,"Van+Ute"))-E55</f>
        <v>497.79363985486606</v>
      </c>
      <c r="F53" s="56">
        <f ca="1">INDIRECT(ADDRESS(D47+6,6,4,TRUE,"Van+Ute"))-F55</f>
        <v>516.26334698536664</v>
      </c>
      <c r="G53" s="56">
        <f ca="1">INDIRECT(ADDRESS($D47+6,7,4,TRUE,"Van+Ute"))-G55</f>
        <v>546.98778470547688</v>
      </c>
      <c r="H53" s="56">
        <f ca="1">INDIRECT(ADDRESS($D47+6,8,4,TRUE,"Van+Ute"))-H55</f>
        <v>645.1075708026151</v>
      </c>
      <c r="I53" s="56">
        <f ca="1">INDIRECT(ADDRESS(D47+6,9,4,TRUE,"Van+Ute"))-I55</f>
        <v>688.79721968736942</v>
      </c>
      <c r="J53" s="56">
        <f ca="1">INDIRECT(ADDRESS(D47+6,10,4,TRUE,"Van+Ute"))-J55</f>
        <v>750.30555840637464</v>
      </c>
      <c r="K53" s="56">
        <f ca="1">INDIRECT(ADDRESS(D47+6,11,4,TRUE,"Van+Ute"))-K55</f>
        <v>766.82561163179003</v>
      </c>
      <c r="L53" s="56">
        <f ca="1">INDIRECT(ADDRESS(D47+6,12,4,TRUE,"Van+Ute"))-L55</f>
        <v>777.97962544842107</v>
      </c>
      <c r="M53" s="56">
        <f ca="1">INDIRECT(ADDRESS(D47+6,13,4,TRUE,"Van+Ute"))-M55</f>
        <v>785.23945531458048</v>
      </c>
      <c r="N53" s="56">
        <f ca="1">INDIRECT(ADDRESS(D47+6,14,4,TRUE,"Van+Ute"))-N55</f>
        <v>793.58376058466956</v>
      </c>
      <c r="O53" s="56">
        <f ca="1">INDIRECT(ADDRESS(D47+6,15,4,TRUE,"Van+Ute"))-O55</f>
        <v>802.6972426590653</v>
      </c>
      <c r="P53" s="56">
        <f ca="1">INDIRECT(ADDRESS(D47+6,16,4,TRUE,"Van+Ute"))-P55</f>
        <v>809.31451217685617</v>
      </c>
      <c r="Q53" s="57">
        <f ca="1">INDIRECT(ADDRESS(D47+6,17,4,TRUE,"Van+Ute"))-Q55</f>
        <v>811.79790455319289</v>
      </c>
    </row>
    <row r="54" spans="3:17" ht="15.5" x14ac:dyDescent="0.35">
      <c r="C54" s="24" t="s">
        <v>115</v>
      </c>
      <c r="D54" s="55">
        <f ca="1">INDIRECT(ADDRESS(D47+130,4,4,TRUE,"Car+SUV"))</f>
        <v>7.8534960616182063</v>
      </c>
      <c r="E54" s="56">
        <f ca="1">INDIRECT(ADDRESS(D47+130,5,4,TRUE,"Car+SUV"))</f>
        <v>7.6193443387215849</v>
      </c>
      <c r="F54" s="56">
        <f ca="1">INDIRECT(ADDRESS(D47+130,6,4,TRUE,"Car+SUV"))</f>
        <v>7.6111611636259378</v>
      </c>
      <c r="G54" s="56">
        <f ca="1">INDIRECT(ADDRESS($D47+130,7,4,TRUE,"Car+SUV"))</f>
        <v>7.8517701774184525</v>
      </c>
      <c r="H54" s="56">
        <f ca="1">INDIRECT(ADDRESS($D47+130,8,4,TRUE,"Car+SUV"))</f>
        <v>9.7032753273639667</v>
      </c>
      <c r="I54" s="56">
        <f ca="1">INDIRECT(ADDRESS(D47+130,9,4,TRUE,"Car+SUV"))</f>
        <v>12.413152805195006</v>
      </c>
      <c r="J54" s="56">
        <f ca="1">INDIRECT(ADDRESS(D47+130,10,4,TRUE,"Car+SUV"))</f>
        <v>14.519848962562358</v>
      </c>
      <c r="K54" s="56">
        <f ca="1">INDIRECT(ADDRESS(D47+130,11,4,TRUE,"Car+SUV"))</f>
        <v>233.49561502104547</v>
      </c>
      <c r="L54" s="56">
        <f ca="1">INDIRECT(ADDRESS(D47+130,12,4,TRUE,"Car+SUV"))</f>
        <v>465.97314395177693</v>
      </c>
      <c r="M54" s="56">
        <f ca="1">INDIRECT(ADDRESS(D47+130,13,4,TRUE,"Car+SUV"))</f>
        <v>703.81011444562114</v>
      </c>
      <c r="N54" s="56">
        <f ca="1">INDIRECT(ADDRESS(D47+130,14,4,TRUE,"Car+SUV"))</f>
        <v>945.34179395600836</v>
      </c>
      <c r="O54" s="56">
        <f ca="1">INDIRECT(ADDRESS(D47+130,15,4,TRUE,"Car+SUV"))</f>
        <v>1189.4329319158142</v>
      </c>
      <c r="P54" s="56">
        <f ca="1">INDIRECT(ADDRESS(D47+130,16,4,TRUE,"Car+SUV"))</f>
        <v>1433.7389504837436</v>
      </c>
      <c r="Q54" s="57">
        <f ca="1">INDIRECT(ADDRESS(D47+130,17,4,TRUE,"Car+SUV"))</f>
        <v>1677.6165412365106</v>
      </c>
    </row>
    <row r="55" spans="3:17" ht="15.5" x14ac:dyDescent="0.35">
      <c r="C55" s="24" t="s">
        <v>116</v>
      </c>
      <c r="D55" s="55">
        <f ca="1">INDIRECT(ADDRESS(D47+130,4,4,TRUE,"Van+Ute"))</f>
        <v>4.5656498431876278</v>
      </c>
      <c r="E55" s="56">
        <f ca="1">INDIRECT(ADDRESS(D47+130,5,4,TRUE,"Van+Ute"))</f>
        <v>5.1908971239750379</v>
      </c>
      <c r="F55" s="56">
        <f ca="1">INDIRECT(ADDRESS(D47+130,6,4,TRUE,"Van+Ute"))</f>
        <v>4.7054084877031324</v>
      </c>
      <c r="G55" s="56">
        <f ca="1">INDIRECT(ADDRESS($D47+130,7,4,TRUE,"Van+Ute"))</f>
        <v>4.4467812516334702</v>
      </c>
      <c r="H55" s="56">
        <f ca="1">INDIRECT(ADDRESS($D47+130,8,4,TRUE,"Van+Ute"))</f>
        <v>5.6797428102827707</v>
      </c>
      <c r="I55" s="56">
        <f ca="1">INDIRECT(ADDRESS(D47+130,9,4,TRUE,"Van+Ute"))</f>
        <v>5.8521589952003463</v>
      </c>
      <c r="J55" s="56">
        <f ca="1">INDIRECT(ADDRESS(D47+130,10,4,TRUE,"Van+Ute"))</f>
        <v>6.8453571827173549</v>
      </c>
      <c r="K55" s="56">
        <f ca="1">INDIRECT(ADDRESS(D47+130,11,4,TRUE,"Van+Ute"))</f>
        <v>46.649706493814513</v>
      </c>
      <c r="L55" s="56">
        <f ca="1">INDIRECT(ADDRESS(D47+130,12,4,TRUE,"Van+Ute"))</f>
        <v>88.85684383861684</v>
      </c>
      <c r="M55" s="56">
        <f ca="1">INDIRECT(ADDRESS(D47+130,13,4,TRUE,"Van+Ute"))</f>
        <v>132.02637749020204</v>
      </c>
      <c r="N55" s="56">
        <f ca="1">INDIRECT(ADDRESS(D47+130,14,4,TRUE,"Van+Ute"))</f>
        <v>175.91183874115882</v>
      </c>
      <c r="O55" s="56">
        <f ca="1">INDIRECT(ADDRESS(D47+130,15,4,TRUE,"Van+Ute"))</f>
        <v>220.21893128516371</v>
      </c>
      <c r="P55" s="56">
        <f ca="1">INDIRECT(ADDRESS(D47+130,16,4,TRUE,"Van+Ute"))</f>
        <v>264.62118334902021</v>
      </c>
      <c r="Q55" s="57">
        <f ca="1">INDIRECT(ADDRESS(D47+130,17,4,TRUE,"Van+Ute"))</f>
        <v>309.01167499768098</v>
      </c>
    </row>
    <row r="56" spans="3:17" ht="15.5" x14ac:dyDescent="0.35">
      <c r="C56" s="24" t="s">
        <v>43</v>
      </c>
      <c r="D56" s="55">
        <f ca="1">INDIRECT(ADDRESS(D47+6,4,4,TRUE,"Heavy Truck"))</f>
        <v>214.15647055925635</v>
      </c>
      <c r="E56" s="56">
        <f ca="1">INDIRECT(ADDRESS(D47+6,5,4,TRUE,"Heavy Truck"))</f>
        <v>223.73085009383851</v>
      </c>
      <c r="F56" s="56">
        <f ca="1">INDIRECT(ADDRESS(D47+6,6,4,TRUE,"Heavy Truck"))</f>
        <v>227.06239639810516</v>
      </c>
      <c r="G56" s="56">
        <f ca="1">INDIRECT(ADDRESS($D47+6,7,4,TRUE,"Heavy Truck"))</f>
        <v>229.06209102137444</v>
      </c>
      <c r="H56" s="56">
        <f ca="1">INDIRECT(ADDRESS($D47+6,8,4,TRUE,"Heavy Truck"))</f>
        <v>260.02752815483871</v>
      </c>
      <c r="I56" s="56">
        <f ca="1">INDIRECT(ADDRESS(D47+6,9,4,TRUE,"Heavy Truck"))</f>
        <v>269.99541385557558</v>
      </c>
      <c r="J56" s="56">
        <f ca="1">INDIRECT(ADDRESS(D47+6,10,4,TRUE,"Heavy Truck"))</f>
        <v>292.8309328140362</v>
      </c>
      <c r="K56" s="56">
        <f ca="1">INDIRECT(ADDRESS(D47+6,11,4,TRUE,"Heavy Truck"))</f>
        <v>297.96143785141544</v>
      </c>
      <c r="L56" s="56">
        <f ca="1">INDIRECT(ADDRESS(D47+6,12,4,TRUE,"Heavy Truck"))</f>
        <v>302.66158866024648</v>
      </c>
      <c r="M56" s="56">
        <f ca="1">INDIRECT(ADDRESS(D47+6,13,4,TRUE,"Heavy Truck"))</f>
        <v>296.52013038332115</v>
      </c>
      <c r="N56" s="56">
        <f ca="1">INDIRECT(ADDRESS(D47+6,14,4,TRUE,"Heavy Truck"))</f>
        <v>290.49759640832934</v>
      </c>
      <c r="O56" s="56">
        <f ca="1">INDIRECT(ADDRESS(D47+6,15,4,TRUE,"Heavy Truck"))</f>
        <v>290.74487932623066</v>
      </c>
      <c r="P56" s="56">
        <f ca="1">INDIRECT(ADDRESS(D47+6,16,4,TRUE,"Heavy Truck"))</f>
        <v>290.80376442083707</v>
      </c>
      <c r="Q56" s="57">
        <f ca="1">INDIRECT(ADDRESS(D47+6,17,4,TRUE,"Heavy Truck"))</f>
        <v>290.68338191428751</v>
      </c>
    </row>
    <row r="57" spans="3:17" ht="15.5" x14ac:dyDescent="0.35">
      <c r="C57" s="24" t="s">
        <v>44</v>
      </c>
      <c r="D57" s="55">
        <f ca="1">INDIRECT(ADDRESS(D47+6,4,4,TRUE,"Heavy Bus"))</f>
        <v>13.259233392712881</v>
      </c>
      <c r="E57" s="56">
        <f ca="1">INDIRECT(ADDRESS(D47+6,5,4,TRUE,"Heavy Bus"))</f>
        <v>14.756134418666809</v>
      </c>
      <c r="F57" s="56">
        <f ca="1">INDIRECT(ADDRESS(D47+6,6,4,TRUE,"Heavy Bus"))</f>
        <v>14.472403850445561</v>
      </c>
      <c r="G57" s="56">
        <f ca="1">INDIRECT(ADDRESS($D47+6,7,4,TRUE,"Heavy Bus"))</f>
        <v>15.451537176180921</v>
      </c>
      <c r="H57" s="56">
        <f ca="1">INDIRECT(ADDRESS($D47+6,8,4,TRUE,"Heavy Bus"))</f>
        <v>15.704149949548299</v>
      </c>
      <c r="I57" s="56">
        <f ca="1">INDIRECT(ADDRESS(D47+6,9,4,TRUE,"Heavy Bus"))</f>
        <v>15.878220179345071</v>
      </c>
      <c r="J57" s="56">
        <f ca="1">INDIRECT(ADDRESS(D47+6,10,4,TRUE,"Heavy Bus"))</f>
        <v>17.96069227021102</v>
      </c>
      <c r="K57" s="56">
        <f ca="1">INDIRECT(ADDRESS(D47+6,11,4,TRUE,"Heavy Bus"))</f>
        <v>19.769532661219202</v>
      </c>
      <c r="L57" s="56">
        <f ca="1">INDIRECT(ADDRESS(D47+6,12,4,TRUE,"Heavy Bus"))</f>
        <v>21.453589396213935</v>
      </c>
      <c r="M57" s="56">
        <f ca="1">INDIRECT(ADDRESS(D47+6,13,4,TRUE,"Heavy Bus"))</f>
        <v>23.511696179293835</v>
      </c>
      <c r="N57" s="56">
        <f ca="1">INDIRECT(ADDRESS(D47+6,14,4,TRUE,"Heavy Bus"))</f>
        <v>25.897905818131438</v>
      </c>
      <c r="O57" s="56">
        <f ca="1">INDIRECT(ADDRESS(D47+6,15,4,TRUE,"Heavy Bus"))</f>
        <v>28.966761553416287</v>
      </c>
      <c r="P57" s="56">
        <f ca="1">INDIRECT(ADDRESS(D47+6,16,4,TRUE,"Heavy Bus"))</f>
        <v>32.488786721237325</v>
      </c>
      <c r="Q57" s="57">
        <f ca="1">INDIRECT(ADDRESS(D47+6,17,4,TRUE,"Heavy Bus"))</f>
        <v>36.546867559257322</v>
      </c>
    </row>
    <row r="58" spans="3:17" ht="16" thickBot="1" x14ac:dyDescent="0.4">
      <c r="C58" s="24" t="s">
        <v>42</v>
      </c>
      <c r="D58" s="55">
        <f ca="1">INDIRECT(ADDRESS(D47+6,4,4,TRUE,"Motorcycle"))</f>
        <v>25.767043995276101</v>
      </c>
      <c r="E58" s="56">
        <f ca="1">INDIRECT(ADDRESS(D47+6,5,4,TRUE,"Motorcycle"))</f>
        <v>27.192047927332954</v>
      </c>
      <c r="F58" s="56">
        <f ca="1">INDIRECT(ADDRESS(D47+6,6,4,TRUE,"Motorcycle"))</f>
        <v>26.84427444526807</v>
      </c>
      <c r="G58" s="56">
        <f ca="1">INDIRECT(ADDRESS($D47+6,7,4,TRUE,"Motorcycle"))</f>
        <v>27.791948080932613</v>
      </c>
      <c r="H58" s="56">
        <f ca="1">INDIRECT(ADDRESS($D47+6,8,4,TRUE,"Motorcycle"))</f>
        <v>29.937966164015663</v>
      </c>
      <c r="I58" s="56">
        <f ca="1">INDIRECT(ADDRESS(D47+6,9,4,TRUE,"Motorcycle"))</f>
        <v>30.655370791123211</v>
      </c>
      <c r="J58" s="56">
        <f ca="1">INDIRECT(ADDRESS(D47+6,10,4,TRUE,"Motorcycle"))</f>
        <v>32.005456791695927</v>
      </c>
      <c r="K58" s="56">
        <f ca="1">INDIRECT(ADDRESS(D47+6,11,4,TRUE,"Motorcycle"))</f>
        <v>32.658847026828674</v>
      </c>
      <c r="L58" s="56">
        <f ca="1">INDIRECT(ADDRESS(D47+6,12,4,TRUE,"Motorcycle"))</f>
        <v>32.923879627442084</v>
      </c>
      <c r="M58" s="56">
        <f ca="1">INDIRECT(ADDRESS(D47+6,13,4,TRUE,"Motorcycle"))</f>
        <v>32.53846933060526</v>
      </c>
      <c r="N58" s="56">
        <f ca="1">INDIRECT(ADDRESS(D47+6,14,4,TRUE,"Motorcycle"))</f>
        <v>31.970440699809</v>
      </c>
      <c r="O58" s="56">
        <f ca="1">INDIRECT(ADDRESS(D47+6,15,4,TRUE,"Motorcycle"))</f>
        <v>32.47231977250911</v>
      </c>
      <c r="P58" s="56">
        <f ca="1">INDIRECT(ADDRESS(D47+6,16,4,TRUE,"Motorcycle"))</f>
        <v>32.874256833711911</v>
      </c>
      <c r="Q58" s="57">
        <f ca="1">INDIRECT(ADDRESS(D47+6,17,4,TRUE,"Motorcycle"))</f>
        <v>33.206514483816264</v>
      </c>
    </row>
    <row r="59" spans="3:17" ht="16.5" thickTop="1" thickBot="1" x14ac:dyDescent="0.4">
      <c r="C59" s="31" t="s">
        <v>45</v>
      </c>
      <c r="D59" s="61">
        <f ca="1">SUM(D52:D58)</f>
        <v>2620.44366465745</v>
      </c>
      <c r="E59" s="62">
        <f t="shared" ref="E59:N59" ca="1" si="6">SUM(E52:E58)</f>
        <v>2727.3152539380135</v>
      </c>
      <c r="F59" s="62">
        <f t="shared" ca="1" si="6"/>
        <v>2747.6451909949128</v>
      </c>
      <c r="G59" s="62">
        <f t="shared" ca="1" si="6"/>
        <v>2850.8906880791264</v>
      </c>
      <c r="H59" s="62">
        <f t="shared" ca="1" si="6"/>
        <v>3238.8697888428328</v>
      </c>
      <c r="I59" s="62">
        <f t="shared" ca="1" si="6"/>
        <v>3312.5672155062407</v>
      </c>
      <c r="J59" s="62">
        <f t="shared" ca="1" si="6"/>
        <v>3535.7462056963645</v>
      </c>
      <c r="K59" s="62">
        <f t="shared" ca="1" si="6"/>
        <v>3718.8112822336097</v>
      </c>
      <c r="L59" s="62">
        <f t="shared" ca="1" si="6"/>
        <v>3884.0592018177267</v>
      </c>
      <c r="M59" s="62">
        <f t="shared" ca="1" si="6"/>
        <v>4009.6414097200254</v>
      </c>
      <c r="N59" s="62">
        <f t="shared" ca="1" si="6"/>
        <v>4129.3487499510848</v>
      </c>
      <c r="O59" s="62">
        <f t="shared" ref="O59:Q59" ca="1" si="7">SUM(O52:O58)</f>
        <v>4254.0033914719897</v>
      </c>
      <c r="P59" s="62">
        <f t="shared" ca="1" si="7"/>
        <v>4368.054938940837</v>
      </c>
      <c r="Q59" s="63">
        <f t="shared" ca="1" si="7"/>
        <v>4470.2763281462157</v>
      </c>
    </row>
    <row r="60" spans="3:17" ht="13" thickTop="1" x14ac:dyDescent="0.25">
      <c r="L60"/>
      <c r="N60" s="121"/>
    </row>
    <row r="61" spans="3:17" ht="13" thickBot="1" x14ac:dyDescent="0.3">
      <c r="L61"/>
      <c r="N61" s="121"/>
    </row>
    <row r="62" spans="3:17" ht="16.5" thickTop="1" thickBot="1" x14ac:dyDescent="0.4">
      <c r="C62" s="180" t="str">
        <f ca="1">INDIRECT(ADDRESS(D62+6,3,4,TRUE,"Car+SUV"))</f>
        <v>Gisborne</v>
      </c>
      <c r="D62" s="182">
        <v>5</v>
      </c>
      <c r="E62" t="s">
        <v>170</v>
      </c>
      <c r="L62"/>
      <c r="N62" s="121"/>
    </row>
    <row r="63" spans="3:17" ht="13.5" thickTop="1" thickBot="1" x14ac:dyDescent="0.3">
      <c r="L63"/>
      <c r="N63" s="121"/>
    </row>
    <row r="64" spans="3:17" ht="16" thickTop="1" x14ac:dyDescent="0.35">
      <c r="C64" s="32" t="s">
        <v>47</v>
      </c>
      <c r="D64" s="33"/>
      <c r="E64" s="33"/>
      <c r="F64" s="33"/>
      <c r="G64" s="33"/>
      <c r="H64" s="33"/>
      <c r="I64" s="33"/>
      <c r="J64" s="34"/>
      <c r="K64" s="34"/>
      <c r="L64" s="34"/>
      <c r="M64" s="34"/>
      <c r="N64" s="34"/>
      <c r="O64" s="34"/>
      <c r="P64" s="34"/>
      <c r="Q64" s="35"/>
    </row>
    <row r="65" spans="3:17" ht="13.5" thickBot="1" x14ac:dyDescent="0.35">
      <c r="C65" s="36"/>
      <c r="D65" s="37" t="s">
        <v>25</v>
      </c>
      <c r="E65" s="37" t="s">
        <v>37</v>
      </c>
      <c r="F65" s="37" t="s">
        <v>38</v>
      </c>
      <c r="G65" s="37" t="s">
        <v>177</v>
      </c>
      <c r="H65" s="37" t="s">
        <v>178</v>
      </c>
      <c r="I65" s="37" t="s">
        <v>26</v>
      </c>
      <c r="J65" s="37" t="s">
        <v>27</v>
      </c>
      <c r="K65" s="37" t="s">
        <v>28</v>
      </c>
      <c r="L65" s="37" t="s">
        <v>29</v>
      </c>
      <c r="M65" s="37" t="s">
        <v>30</v>
      </c>
      <c r="N65" s="37" t="s">
        <v>31</v>
      </c>
      <c r="O65" s="37" t="s">
        <v>174</v>
      </c>
      <c r="P65" s="37" t="s">
        <v>175</v>
      </c>
      <c r="Q65" s="38" t="s">
        <v>176</v>
      </c>
    </row>
    <row r="66" spans="3:17" ht="14" thickTop="1" thickBot="1" x14ac:dyDescent="0.35">
      <c r="C66" s="70"/>
      <c r="D66" s="71" t="s">
        <v>39</v>
      </c>
      <c r="E66" s="65" t="s">
        <v>39</v>
      </c>
      <c r="F66" s="65" t="s">
        <v>39</v>
      </c>
      <c r="G66" s="65" t="s">
        <v>39</v>
      </c>
      <c r="H66" s="65" t="s">
        <v>39</v>
      </c>
      <c r="I66" s="65" t="s">
        <v>39</v>
      </c>
      <c r="J66" s="65" t="s">
        <v>32</v>
      </c>
      <c r="K66" s="65" t="s">
        <v>32</v>
      </c>
      <c r="L66" s="65" t="s">
        <v>32</v>
      </c>
      <c r="M66" s="65" t="s">
        <v>32</v>
      </c>
      <c r="N66" s="65" t="s">
        <v>32</v>
      </c>
      <c r="O66" s="65" t="s">
        <v>32</v>
      </c>
      <c r="P66" s="65" t="s">
        <v>32</v>
      </c>
      <c r="Q66" s="66" t="s">
        <v>32</v>
      </c>
    </row>
    <row r="67" spans="3:17" ht="16" thickTop="1" x14ac:dyDescent="0.35">
      <c r="C67" s="24" t="s">
        <v>113</v>
      </c>
      <c r="D67" s="55">
        <f ca="1">INDIRECT(ADDRESS(D62+6,4,4,TRUE,"Car+SUV"))-D69</f>
        <v>240.22563769102891</v>
      </c>
      <c r="E67" s="53">
        <f ca="1">INDIRECT(ADDRESS(D62+6,5,4,TRUE,"Car+SUV"))-E69</f>
        <v>239.52155785475452</v>
      </c>
      <c r="F67" s="53">
        <f ca="1">INDIRECT(ADDRESS(D62+6,6,4,TRUE,"Car+SUV"))-F69</f>
        <v>249.44077771821748</v>
      </c>
      <c r="G67" s="53">
        <f ca="1">INDIRECT(ADDRESS($D62+6,7,4,TRUE,"Car+SUV"))-G69</f>
        <v>257.0827933116575</v>
      </c>
      <c r="H67" s="53">
        <f ca="1">INDIRECT(ADDRESS($D62+6,8,4,TRUE,"Car+SUV"))-H69</f>
        <v>250.12286792638457</v>
      </c>
      <c r="I67" s="53">
        <f ca="1">INDIRECT(ADDRESS(D62+6,9,4,TRUE,"Car+SUV"))-I69</f>
        <v>255.60924471545738</v>
      </c>
      <c r="J67" s="53">
        <f ca="1">INDIRECT(ADDRESS(D62+6,10,4,TRUE,"Car+SUV"))-J69</f>
        <v>263.01080363928401</v>
      </c>
      <c r="K67" s="53">
        <f ca="1">INDIRECT(ADDRESS(D62+6,11,4,TRUE,"Car+SUV"))-K69</f>
        <v>246.12378273516879</v>
      </c>
      <c r="L67" s="53">
        <f ca="1">INDIRECT(ADDRESS(D62+6,12,4,TRUE,"Car+SUV"))-L69</f>
        <v>227.0937034555055</v>
      </c>
      <c r="M67" s="53">
        <f ca="1">INDIRECT(ADDRESS(D62+6,13,4,TRUE,"Car+SUV"))-M69</f>
        <v>205.27461341540771</v>
      </c>
      <c r="N67" s="53">
        <f ca="1">INDIRECT(ADDRESS(D62+6,14,4,TRUE,"Car+SUV"))-N69</f>
        <v>183.114188547786</v>
      </c>
      <c r="O67" s="53">
        <f ca="1">INDIRECT(ADDRESS(D62+6,15,4,TRUE,"Car+SUV"))-O69</f>
        <v>161.11823734728409</v>
      </c>
      <c r="P67" s="53">
        <f ca="1">INDIRECT(ADDRESS(D62+6,16,4,TRUE,"Car+SUV"))-P69</f>
        <v>139.0578682588212</v>
      </c>
      <c r="Q67" s="54">
        <f ca="1">INDIRECT(ADDRESS(D62+6,17,4,TRUE,"Car+SUV"))-Q69</f>
        <v>117.08548370877176</v>
      </c>
    </row>
    <row r="68" spans="3:17" ht="15.5" x14ac:dyDescent="0.35">
      <c r="C68" s="24" t="s">
        <v>114</v>
      </c>
      <c r="D68" s="55">
        <f ca="1">INDIRECT(ADDRESS(D62+6,4,4,TRUE,"Van+Ute"))-D70</f>
        <v>96.113292757727308</v>
      </c>
      <c r="E68" s="56">
        <f ca="1">INDIRECT(ADDRESS(D62+6,5,4,TRUE,"Van+Ute"))-E70</f>
        <v>101.56564463205567</v>
      </c>
      <c r="F68" s="56">
        <f ca="1">INDIRECT(ADDRESS(D62+6,6,4,TRUE,"Van+Ute"))-F70</f>
        <v>109.27510793843869</v>
      </c>
      <c r="G68" s="56">
        <f ca="1">INDIRECT(ADDRESS($D62+6,7,4,TRUE,"Van+Ute"))-G70</f>
        <v>114.88663080449018</v>
      </c>
      <c r="H68" s="56">
        <f ca="1">INDIRECT(ADDRESS($D62+6,8,4,TRUE,"Van+Ute"))-H70</f>
        <v>114.29869694523373</v>
      </c>
      <c r="I68" s="56">
        <f ca="1">INDIRECT(ADDRESS(D62+6,9,4,TRUE,"Van+Ute"))-I70</f>
        <v>125.051549141572</v>
      </c>
      <c r="J68" s="56">
        <f ca="1">INDIRECT(ADDRESS(D62+6,10,4,TRUE,"Van+Ute"))-J70</f>
        <v>132.01363335871432</v>
      </c>
      <c r="K68" s="56">
        <f ca="1">INDIRECT(ADDRESS(D62+6,11,4,TRUE,"Van+Ute"))-K70</f>
        <v>130.68199370053904</v>
      </c>
      <c r="L68" s="56">
        <f ca="1">INDIRECT(ADDRESS(D62+6,12,4,TRUE,"Van+Ute"))-L70</f>
        <v>128.46465417211564</v>
      </c>
      <c r="M68" s="56">
        <f ca="1">INDIRECT(ADDRESS(D62+6,13,4,TRUE,"Van+Ute"))-M70</f>
        <v>125.37625236203797</v>
      </c>
      <c r="N68" s="56">
        <f ca="1">INDIRECT(ADDRESS(D62+6,14,4,TRUE,"Van+Ute"))-N70</f>
        <v>122.4884427385134</v>
      </c>
      <c r="O68" s="56">
        <f ca="1">INDIRECT(ADDRESS(D62+6,15,4,TRUE,"Van+Ute"))-O70</f>
        <v>119.75326529255793</v>
      </c>
      <c r="P68" s="56">
        <f ca="1">INDIRECT(ADDRESS(D62+6,16,4,TRUE,"Van+Ute"))-P70</f>
        <v>116.69618560971038</v>
      </c>
      <c r="Q68" s="57">
        <f ca="1">INDIRECT(ADDRESS(D62+6,17,4,TRUE,"Van+Ute"))-Q70</f>
        <v>113.14214594880173</v>
      </c>
    </row>
    <row r="69" spans="3:17" ht="15.5" x14ac:dyDescent="0.35">
      <c r="C69" s="24" t="s">
        <v>115</v>
      </c>
      <c r="D69" s="55">
        <f ca="1">INDIRECT(ADDRESS(D62+130,4,4,TRUE,"Car+SUV"))</f>
        <v>1.0386914659164255</v>
      </c>
      <c r="E69" s="56">
        <f ca="1">INDIRECT(ADDRESS(D62+130,5,4,TRUE,"Car+SUV"))</f>
        <v>1.0940104564315674</v>
      </c>
      <c r="F69" s="56">
        <f ca="1">INDIRECT(ADDRESS(D62+130,6,4,TRUE,"Car+SUV"))</f>
        <v>1.058447387962798</v>
      </c>
      <c r="G69" s="56">
        <f ca="1">INDIRECT(ADDRESS($D62+130,7,4,TRUE,"Car+SUV"))</f>
        <v>1.0888881139198701</v>
      </c>
      <c r="H69" s="56">
        <f ca="1">INDIRECT(ADDRESS($D62+130,8,4,TRUE,"Car+SUV"))</f>
        <v>1.0421925887306627</v>
      </c>
      <c r="I69" s="56">
        <f ca="1">INDIRECT(ADDRESS(D62+130,9,4,TRUE,"Car+SUV"))</f>
        <v>1.1479099102952752</v>
      </c>
      <c r="J69" s="56">
        <f ca="1">INDIRECT(ADDRESS(D62+130,10,4,TRUE,"Car+SUV"))</f>
        <v>1.3206565438780566</v>
      </c>
      <c r="K69" s="56">
        <f ca="1">INDIRECT(ADDRESS(D62+130,11,4,TRUE,"Car+SUV"))</f>
        <v>25.168729635982292</v>
      </c>
      <c r="L69" s="56">
        <f ca="1">INDIRECT(ADDRESS(D62+130,12,4,TRUE,"Car+SUV"))</f>
        <v>49.547915209512873</v>
      </c>
      <c r="M69" s="56">
        <f ca="1">INDIRECT(ADDRESS(D62+130,13,4,TRUE,"Car+SUV"))</f>
        <v>73.49117018243696</v>
      </c>
      <c r="N69" s="56">
        <f ca="1">INDIRECT(ADDRESS(D62+130,14,4,TRUE,"Car+SUV"))</f>
        <v>96.906368303143509</v>
      </c>
      <c r="O69" s="56">
        <f ca="1">INDIRECT(ADDRESS(D62+130,15,4,TRUE,"Car+SUV"))</f>
        <v>119.75681626904269</v>
      </c>
      <c r="P69" s="56">
        <f ca="1">INDIRECT(ADDRESS(D62+130,16,4,TRUE,"Car+SUV"))</f>
        <v>141.77335714741099</v>
      </c>
      <c r="Q69" s="57">
        <f ca="1">INDIRECT(ADDRESS(D62+130,17,4,TRUE,"Car+SUV"))</f>
        <v>162.92682555402646</v>
      </c>
    </row>
    <row r="70" spans="3:17" ht="15.5" x14ac:dyDescent="0.35">
      <c r="C70" s="24" t="s">
        <v>116</v>
      </c>
      <c r="D70" s="55">
        <f ca="1">INDIRECT(ADDRESS(D62+130,4,4,TRUE,"Van+Ute"))</f>
        <v>0.46643296750043733</v>
      </c>
      <c r="E70" s="56">
        <f ca="1">INDIRECT(ADDRESS(D62+130,5,4,TRUE,"Van+Ute"))</f>
        <v>0.48574461475523228</v>
      </c>
      <c r="F70" s="56">
        <f ca="1">INDIRECT(ADDRESS(D62+130,6,4,TRUE,"Van+Ute"))</f>
        <v>0.60865303204104837</v>
      </c>
      <c r="G70" s="56">
        <f ca="1">INDIRECT(ADDRESS($D62+130,7,4,TRUE,"Van+Ute"))</f>
        <v>0.64895256898076514</v>
      </c>
      <c r="H70" s="56">
        <f ca="1">INDIRECT(ADDRESS($D62+130,8,4,TRUE,"Van+Ute"))</f>
        <v>0.6094854216193395</v>
      </c>
      <c r="I70" s="56">
        <f ca="1">INDIRECT(ADDRESS(D62+130,9,4,TRUE,"Van+Ute"))</f>
        <v>0.56560984895030098</v>
      </c>
      <c r="J70" s="56">
        <f ca="1">INDIRECT(ADDRESS(D62+130,10,4,TRUE,"Van+Ute"))</f>
        <v>0.65072732764015473</v>
      </c>
      <c r="K70" s="56">
        <f ca="1">INDIRECT(ADDRESS(D62+130,11,4,TRUE,"Van+Ute"))</f>
        <v>8.3681559059693615</v>
      </c>
      <c r="L70" s="56">
        <f ca="1">INDIRECT(ADDRESS(D62+130,12,4,TRUE,"Van+Ute"))</f>
        <v>16.255688404945712</v>
      </c>
      <c r="M70" s="56">
        <f ca="1">INDIRECT(ADDRESS(D62+130,13,4,TRUE,"Van+Ute"))</f>
        <v>24.002370775931979</v>
      </c>
      <c r="N70" s="56">
        <f ca="1">INDIRECT(ADDRESS(D62+130,14,4,TRUE,"Van+Ute"))</f>
        <v>31.581467610964136</v>
      </c>
      <c r="O70" s="56">
        <f ca="1">INDIRECT(ADDRESS(D62+130,15,4,TRUE,"Van+Ute"))</f>
        <v>38.976531735716726</v>
      </c>
      <c r="P70" s="56">
        <f ca="1">INDIRECT(ADDRESS(D62+130,16,4,TRUE,"Van+Ute"))</f>
        <v>46.105649720965218</v>
      </c>
      <c r="Q70" s="57">
        <f ca="1">INDIRECT(ADDRESS(D62+130,17,4,TRUE,"Van+Ute"))</f>
        <v>52.95992230330026</v>
      </c>
    </row>
    <row r="71" spans="3:17" ht="15.5" x14ac:dyDescent="0.35">
      <c r="C71" s="24" t="s">
        <v>43</v>
      </c>
      <c r="D71" s="55">
        <f ca="1">INDIRECT(ADDRESS(D62+6,4,4,TRUE,"Heavy Truck"))</f>
        <v>33.915973005218945</v>
      </c>
      <c r="E71" s="56">
        <f ca="1">INDIRECT(ADDRESS(D62+6,5,4,TRUE,"Heavy Truck"))</f>
        <v>36.059626125440786</v>
      </c>
      <c r="F71" s="56">
        <f ca="1">INDIRECT(ADDRESS(D62+6,6,4,TRUE,"Heavy Truck"))</f>
        <v>36.934309376738085</v>
      </c>
      <c r="G71" s="56">
        <f ca="1">INDIRECT(ADDRESS($D62+6,7,4,TRUE,"Heavy Truck"))</f>
        <v>34.474453336572367</v>
      </c>
      <c r="H71" s="56">
        <f ca="1">INDIRECT(ADDRESS($D62+6,8,4,TRUE,"Heavy Truck"))</f>
        <v>37.903907769942656</v>
      </c>
      <c r="I71" s="56">
        <f ca="1">INDIRECT(ADDRESS(D62+6,9,4,TRUE,"Heavy Truck"))</f>
        <v>31.123110973246689</v>
      </c>
      <c r="J71" s="56">
        <f ca="1">INDIRECT(ADDRESS(D62+6,10,4,TRUE,"Heavy Truck"))</f>
        <v>36.014956277059618</v>
      </c>
      <c r="K71" s="56">
        <f ca="1">INDIRECT(ADDRESS(D62+6,11,4,TRUE,"Heavy Truck"))</f>
        <v>35.947435185615589</v>
      </c>
      <c r="L71" s="56">
        <f ca="1">INDIRECT(ADDRESS(D62+6,12,4,TRUE,"Heavy Truck"))</f>
        <v>35.861393277168148</v>
      </c>
      <c r="M71" s="56">
        <f ca="1">INDIRECT(ADDRESS(D62+6,13,4,TRUE,"Heavy Truck"))</f>
        <v>32.340271289063452</v>
      </c>
      <c r="N71" s="56">
        <f ca="1">INDIRECT(ADDRESS(D62+6,14,4,TRUE,"Heavy Truck"))</f>
        <v>28.97084139955734</v>
      </c>
      <c r="O71" s="56">
        <f ca="1">INDIRECT(ADDRESS(D62+6,15,4,TRUE,"Heavy Truck"))</f>
        <v>28.569544517898127</v>
      </c>
      <c r="P71" s="56">
        <f ca="1">INDIRECT(ADDRESS(D62+6,16,4,TRUE,"Heavy Truck"))</f>
        <v>28.17044115659661</v>
      </c>
      <c r="Q71" s="57">
        <f ca="1">INDIRECT(ADDRESS(D62+6,17,4,TRUE,"Heavy Truck"))</f>
        <v>27.77366669405647</v>
      </c>
    </row>
    <row r="72" spans="3:17" ht="15.5" x14ac:dyDescent="0.35">
      <c r="C72" s="24" t="s">
        <v>44</v>
      </c>
      <c r="D72" s="55">
        <f ca="1">INDIRECT(ADDRESS(D62+6,4,4,TRUE,"Heavy Bus"))</f>
        <v>1.5184457280733668</v>
      </c>
      <c r="E72" s="56">
        <f ca="1">INDIRECT(ADDRESS(D62+6,5,4,TRUE,"Heavy Bus"))</f>
        <v>1.9072379251640335</v>
      </c>
      <c r="F72" s="56">
        <f ca="1">INDIRECT(ADDRESS(D62+6,6,4,TRUE,"Heavy Bus"))</f>
        <v>2.0051713428473192</v>
      </c>
      <c r="G72" s="56">
        <f ca="1">INDIRECT(ADDRESS($D62+6,7,4,TRUE,"Heavy Bus"))</f>
        <v>2.1004346546201038</v>
      </c>
      <c r="H72" s="56">
        <f ca="1">INDIRECT(ADDRESS($D62+6,8,4,TRUE,"Heavy Bus"))</f>
        <v>1.8437925209266235</v>
      </c>
      <c r="I72" s="56">
        <f ca="1">INDIRECT(ADDRESS(D62+6,9,4,TRUE,"Heavy Bus"))</f>
        <v>1.4214367800522809</v>
      </c>
      <c r="J72" s="56">
        <f ca="1">INDIRECT(ADDRESS(D62+6,10,4,TRUE,"Heavy Bus"))</f>
        <v>1.7602516848933702</v>
      </c>
      <c r="K72" s="56">
        <f ca="1">INDIRECT(ADDRESS(D62+6,11,4,TRUE,"Heavy Bus"))</f>
        <v>2.0525558579031262</v>
      </c>
      <c r="L72" s="56">
        <f ca="1">INDIRECT(ADDRESS(D62+6,12,4,TRUE,"Heavy Bus"))</f>
        <v>2.3445599130022434</v>
      </c>
      <c r="M72" s="56">
        <f ca="1">INDIRECT(ADDRESS(D62+6,13,4,TRUE,"Heavy Bus"))</f>
        <v>2.6859443225941022</v>
      </c>
      <c r="N72" s="56">
        <f ca="1">INDIRECT(ADDRESS(D62+6,14,4,TRUE,"Heavy Bus"))</f>
        <v>3.0825132486917286</v>
      </c>
      <c r="O72" s="56">
        <f ca="1">INDIRECT(ADDRESS(D62+6,15,4,TRUE,"Heavy Bus"))</f>
        <v>3.54903623205657</v>
      </c>
      <c r="P72" s="56">
        <f ca="1">INDIRECT(ADDRESS(D62+6,16,4,TRUE,"Heavy Bus"))</f>
        <v>4.0895960538529073</v>
      </c>
      <c r="Q72" s="57">
        <f ca="1">INDIRECT(ADDRESS(D62+6,17,4,TRUE,"Heavy Bus"))</f>
        <v>4.7162190162619453</v>
      </c>
    </row>
    <row r="73" spans="3:17" ht="16" thickBot="1" x14ac:dyDescent="0.4">
      <c r="C73" s="24" t="s">
        <v>42</v>
      </c>
      <c r="D73" s="55">
        <f ca="1">INDIRECT(ADDRESS(D62+6,4,4,TRUE,"Motorcycle"))</f>
        <v>2.7884785044479377</v>
      </c>
      <c r="E73" s="56">
        <f ca="1">INDIRECT(ADDRESS(D62+6,5,4,TRUE,"Motorcycle"))</f>
        <v>2.7601540462194354</v>
      </c>
      <c r="F73" s="56">
        <f ca="1">INDIRECT(ADDRESS(D62+6,6,4,TRUE,"Motorcycle"))</f>
        <v>2.908456882893673</v>
      </c>
      <c r="G73" s="56">
        <f ca="1">INDIRECT(ADDRESS($D62+6,7,4,TRUE,"Motorcycle"))</f>
        <v>3.0386461481188856</v>
      </c>
      <c r="H73" s="56">
        <f ca="1">INDIRECT(ADDRESS($D62+6,8,4,TRUE,"Motorcycle"))</f>
        <v>3.1917678125708666</v>
      </c>
      <c r="I73" s="56">
        <f ca="1">INDIRECT(ADDRESS(D62+6,9,4,TRUE,"Motorcycle"))</f>
        <v>3.3228252495464452</v>
      </c>
      <c r="J73" s="56">
        <f ca="1">INDIRECT(ADDRESS(D62+6,10,4,TRUE,"Motorcycle"))</f>
        <v>3.3825563136013148</v>
      </c>
      <c r="K73" s="56">
        <f ca="1">INDIRECT(ADDRESS(D62+6,11,4,TRUE,"Motorcycle"))</f>
        <v>3.3842927581668052</v>
      </c>
      <c r="L73" s="56">
        <f ca="1">INDIRECT(ADDRESS(D62+6,12,4,TRUE,"Motorcycle"))</f>
        <v>3.3481720949279867</v>
      </c>
      <c r="M73" s="56">
        <f ca="1">INDIRECT(ADDRESS(D62+6,13,4,TRUE,"Motorcycle"))</f>
        <v>3.2450427431116284</v>
      </c>
      <c r="N73" s="56">
        <f ca="1">INDIRECT(ADDRESS(D62+6,14,4,TRUE,"Motorcycle"))</f>
        <v>3.1290650389124099</v>
      </c>
      <c r="O73" s="56">
        <f ca="1">INDIRECT(ADDRESS(D62+6,15,4,TRUE,"Motorcycle"))</f>
        <v>3.1194317041820838</v>
      </c>
      <c r="P73" s="56">
        <f ca="1">INDIRECT(ADDRESS(D62+6,16,4,TRUE,"Motorcycle"))</f>
        <v>3.10005936424673</v>
      </c>
      <c r="Q73" s="57">
        <f ca="1">INDIRECT(ADDRESS(D62+6,17,4,TRUE,"Motorcycle"))</f>
        <v>3.0743068328437557</v>
      </c>
    </row>
    <row r="74" spans="3:17" ht="16.5" thickTop="1" thickBot="1" x14ac:dyDescent="0.4">
      <c r="C74" s="31" t="s">
        <v>45</v>
      </c>
      <c r="D74" s="61">
        <f ca="1">SUM(D67:D73)</f>
        <v>376.06695211991337</v>
      </c>
      <c r="E74" s="62">
        <f t="shared" ref="E74:N74" ca="1" si="8">SUM(E67:E73)</f>
        <v>383.39397565482125</v>
      </c>
      <c r="F74" s="62">
        <f t="shared" ca="1" si="8"/>
        <v>402.2309236791391</v>
      </c>
      <c r="G74" s="62">
        <f t="shared" ca="1" si="8"/>
        <v>413.3207989383597</v>
      </c>
      <c r="H74" s="62">
        <f t="shared" ca="1" si="8"/>
        <v>409.01271098540843</v>
      </c>
      <c r="I74" s="62">
        <f t="shared" ca="1" si="8"/>
        <v>418.24168661912034</v>
      </c>
      <c r="J74" s="62">
        <f t="shared" ca="1" si="8"/>
        <v>438.15358514507085</v>
      </c>
      <c r="K74" s="62">
        <f t="shared" ca="1" si="8"/>
        <v>451.72694577934499</v>
      </c>
      <c r="L74" s="62">
        <f t="shared" ca="1" si="8"/>
        <v>462.91608652717809</v>
      </c>
      <c r="M74" s="62">
        <f t="shared" ca="1" si="8"/>
        <v>466.41566509058384</v>
      </c>
      <c r="N74" s="62">
        <f t="shared" ca="1" si="8"/>
        <v>469.27288688756852</v>
      </c>
      <c r="O74" s="62">
        <f t="shared" ref="O74:Q74" ca="1" si="9">SUM(O67:O73)</f>
        <v>474.84286309873818</v>
      </c>
      <c r="P74" s="62">
        <f t="shared" ca="1" si="9"/>
        <v>478.99315731160402</v>
      </c>
      <c r="Q74" s="63">
        <f t="shared" ca="1" si="9"/>
        <v>481.67857005806241</v>
      </c>
    </row>
    <row r="75" spans="3:17" ht="13" thickTop="1" x14ac:dyDescent="0.25">
      <c r="L75"/>
      <c r="N75" s="121"/>
    </row>
    <row r="76" spans="3:17" ht="13" thickBot="1" x14ac:dyDescent="0.3">
      <c r="L76"/>
      <c r="N76" s="121"/>
    </row>
    <row r="77" spans="3:17" ht="16.5" thickTop="1" thickBot="1" x14ac:dyDescent="0.4">
      <c r="C77" s="180" t="str">
        <f ca="1">INDIRECT(ADDRESS(D77+6,3,4,TRUE,"Car+SUV"))</f>
        <v>Hawke’s Bay</v>
      </c>
      <c r="D77" s="182">
        <v>6</v>
      </c>
      <c r="E77" t="s">
        <v>170</v>
      </c>
      <c r="L77"/>
      <c r="N77" s="121"/>
    </row>
    <row r="78" spans="3:17" ht="13.5" thickTop="1" thickBot="1" x14ac:dyDescent="0.3">
      <c r="L78"/>
      <c r="N78" s="121"/>
    </row>
    <row r="79" spans="3:17" ht="16" thickTop="1" x14ac:dyDescent="0.35">
      <c r="C79" s="32" t="s">
        <v>47</v>
      </c>
      <c r="D79" s="33"/>
      <c r="E79" s="33"/>
      <c r="F79" s="33"/>
      <c r="G79" s="33"/>
      <c r="H79" s="33"/>
      <c r="I79" s="33"/>
      <c r="J79" s="34"/>
      <c r="K79" s="34"/>
      <c r="L79" s="34"/>
      <c r="M79" s="34"/>
      <c r="N79" s="34"/>
      <c r="O79" s="34"/>
      <c r="P79" s="34"/>
      <c r="Q79" s="35"/>
    </row>
    <row r="80" spans="3:17" ht="13.5" thickBot="1" x14ac:dyDescent="0.35">
      <c r="C80" s="36"/>
      <c r="D80" s="37" t="s">
        <v>25</v>
      </c>
      <c r="E80" s="37" t="s">
        <v>37</v>
      </c>
      <c r="F80" s="37" t="s">
        <v>38</v>
      </c>
      <c r="G80" s="37" t="s">
        <v>177</v>
      </c>
      <c r="H80" s="37" t="s">
        <v>178</v>
      </c>
      <c r="I80" s="37" t="s">
        <v>26</v>
      </c>
      <c r="J80" s="37" t="s">
        <v>27</v>
      </c>
      <c r="K80" s="37" t="s">
        <v>28</v>
      </c>
      <c r="L80" s="37" t="s">
        <v>29</v>
      </c>
      <c r="M80" s="37" t="s">
        <v>30</v>
      </c>
      <c r="N80" s="37" t="s">
        <v>31</v>
      </c>
      <c r="O80" s="37" t="s">
        <v>174</v>
      </c>
      <c r="P80" s="37" t="s">
        <v>175</v>
      </c>
      <c r="Q80" s="38" t="s">
        <v>176</v>
      </c>
    </row>
    <row r="81" spans="3:17" ht="14" thickTop="1" thickBot="1" x14ac:dyDescent="0.35">
      <c r="C81" s="70"/>
      <c r="D81" s="71" t="s">
        <v>39</v>
      </c>
      <c r="E81" s="65" t="s">
        <v>39</v>
      </c>
      <c r="F81" s="65" t="s">
        <v>39</v>
      </c>
      <c r="G81" s="65" t="s">
        <v>39</v>
      </c>
      <c r="H81" s="65" t="s">
        <v>39</v>
      </c>
      <c r="I81" s="65" t="s">
        <v>39</v>
      </c>
      <c r="J81" s="65" t="s">
        <v>32</v>
      </c>
      <c r="K81" s="65" t="s">
        <v>32</v>
      </c>
      <c r="L81" s="65" t="s">
        <v>32</v>
      </c>
      <c r="M81" s="65" t="s">
        <v>32</v>
      </c>
      <c r="N81" s="65" t="s">
        <v>32</v>
      </c>
      <c r="O81" s="65" t="s">
        <v>32</v>
      </c>
      <c r="P81" s="65" t="s">
        <v>32</v>
      </c>
      <c r="Q81" s="66" t="s">
        <v>32</v>
      </c>
    </row>
    <row r="82" spans="3:17" ht="16" thickTop="1" x14ac:dyDescent="0.35">
      <c r="C82" s="24" t="s">
        <v>113</v>
      </c>
      <c r="D82" s="55">
        <f ca="1">INDIRECT(ADDRESS(D77+6,4,4,TRUE,"Car+SUV"))-D84</f>
        <v>1027.0527349657843</v>
      </c>
      <c r="E82" s="53">
        <f ca="1">INDIRECT(ADDRESS(D77+6,5,4,TRUE,"Car+SUV"))-E84</f>
        <v>1021.3641080020416</v>
      </c>
      <c r="F82" s="53">
        <f ca="1">INDIRECT(ADDRESS(D77+6,6,4,TRUE,"Car+SUV"))-F84</f>
        <v>1067.0807738979126</v>
      </c>
      <c r="G82" s="53">
        <f ca="1">INDIRECT(ADDRESS($D77+6,7,4,TRUE,"Car+SUV"))-G84</f>
        <v>1117.2143409278385</v>
      </c>
      <c r="H82" s="53">
        <f ca="1">INDIRECT(ADDRESS($D77+6,8,4,TRUE,"Car+SUV"))-H84</f>
        <v>1154.62888646752</v>
      </c>
      <c r="I82" s="53">
        <f ca="1">INDIRECT(ADDRESS(D77+6,9,4,TRUE,"Car+SUV"))-I84</f>
        <v>1173.1562588732368</v>
      </c>
      <c r="J82" s="53">
        <f ca="1">INDIRECT(ADDRESS(D77+6,10,4,TRUE,"Car+SUV"))-J84</f>
        <v>1240.2138742836539</v>
      </c>
      <c r="K82" s="53">
        <f ca="1">INDIRECT(ADDRESS(D77+6,11,4,TRUE,"Car+SUV"))-K84</f>
        <v>1189.6078417006324</v>
      </c>
      <c r="L82" s="53">
        <f ca="1">INDIRECT(ADDRESS(D77+6,12,4,TRUE,"Car+SUV"))-L84</f>
        <v>1125.2207607618973</v>
      </c>
      <c r="M82" s="53">
        <f ca="1">INDIRECT(ADDRESS(D77+6,13,4,TRUE,"Car+SUV"))-M84</f>
        <v>1045.9761777966112</v>
      </c>
      <c r="N82" s="53">
        <f ca="1">INDIRECT(ADDRESS(D77+6,14,4,TRUE,"Car+SUV"))-N84</f>
        <v>961.70758740506187</v>
      </c>
      <c r="O82" s="53">
        <f ca="1">INDIRECT(ADDRESS(D77+6,15,4,TRUE,"Car+SUV"))-O84</f>
        <v>874.45076376581255</v>
      </c>
      <c r="P82" s="53">
        <f ca="1">INDIRECT(ADDRESS(D77+6,16,4,TRUE,"Car+SUV"))-P84</f>
        <v>782.77850720429433</v>
      </c>
      <c r="Q82" s="54">
        <f ca="1">INDIRECT(ADDRESS(D77+6,17,4,TRUE,"Car+SUV"))-Q84</f>
        <v>686.9509552897041</v>
      </c>
    </row>
    <row r="83" spans="3:17" ht="15.5" x14ac:dyDescent="0.35">
      <c r="C83" s="24" t="s">
        <v>114</v>
      </c>
      <c r="D83" s="55">
        <f ca="1">INDIRECT(ADDRESS(D77+6,4,4,TRUE,"Van+Ute"))-D85</f>
        <v>264.69231182264048</v>
      </c>
      <c r="E83" s="56">
        <f ca="1">INDIRECT(ADDRESS(D77+6,5,4,TRUE,"Van+Ute"))-E85</f>
        <v>270.89704809958272</v>
      </c>
      <c r="F83" s="56">
        <f ca="1">INDIRECT(ADDRESS(D77+6,6,4,TRUE,"Van+Ute"))-F85</f>
        <v>290.33065813878881</v>
      </c>
      <c r="G83" s="56">
        <f ca="1">INDIRECT(ADDRESS($D77+6,7,4,TRUE,"Van+Ute"))-G85</f>
        <v>310.69886608887811</v>
      </c>
      <c r="H83" s="56">
        <f ca="1">INDIRECT(ADDRESS($D77+6,8,4,TRUE,"Van+Ute"))-H85</f>
        <v>329.01639632883621</v>
      </c>
      <c r="I83" s="56">
        <f ca="1">INDIRECT(ADDRESS(D77+6,9,4,TRUE,"Van+Ute"))-I85</f>
        <v>357.1734368248392</v>
      </c>
      <c r="J83" s="56">
        <f ca="1">INDIRECT(ADDRESS(D77+6,10,4,TRUE,"Van+Ute"))-J85</f>
        <v>388.22354633949351</v>
      </c>
      <c r="K83" s="56">
        <f ca="1">INDIRECT(ADDRESS(D77+6,11,4,TRUE,"Van+Ute"))-K85</f>
        <v>395.59515981192339</v>
      </c>
      <c r="L83" s="56">
        <f ca="1">INDIRECT(ADDRESS(D77+6,12,4,TRUE,"Van+Ute"))-L85</f>
        <v>400.19415327129474</v>
      </c>
      <c r="M83" s="56">
        <f ca="1">INDIRECT(ADDRESS(D77+6,13,4,TRUE,"Van+Ute"))-M85</f>
        <v>403.01494208731236</v>
      </c>
      <c r="N83" s="56">
        <f ca="1">INDIRECT(ADDRESS(D77+6,14,4,TRUE,"Van+Ute"))-N85</f>
        <v>406.74207545071266</v>
      </c>
      <c r="O83" s="56">
        <f ca="1">INDIRECT(ADDRESS(D77+6,15,4,TRUE,"Van+Ute"))-O85</f>
        <v>411.16516723855</v>
      </c>
      <c r="P83" s="56">
        <f ca="1">INDIRECT(ADDRESS(D77+6,16,4,TRUE,"Van+Ute"))-P85</f>
        <v>414.61259728990149</v>
      </c>
      <c r="Q83" s="57">
        <f ca="1">INDIRECT(ADDRESS(D77+6,17,4,TRUE,"Van+Ute"))-Q85</f>
        <v>416.26982580803769</v>
      </c>
    </row>
    <row r="84" spans="3:17" ht="15.5" x14ac:dyDescent="0.35">
      <c r="C84" s="24" t="s">
        <v>115</v>
      </c>
      <c r="D84" s="55">
        <f ca="1">INDIRECT(ADDRESS(D77+130,4,4,TRUE,"Car+SUV"))</f>
        <v>4.9682297678799188</v>
      </c>
      <c r="E84" s="56">
        <f ca="1">INDIRECT(ADDRESS(D77+130,5,4,TRUE,"Car+SUV"))</f>
        <v>4.8118020460864983</v>
      </c>
      <c r="F84" s="56">
        <f ca="1">INDIRECT(ADDRESS(D77+130,6,4,TRUE,"Car+SUV"))</f>
        <v>5.1180066908698345</v>
      </c>
      <c r="G84" s="56">
        <f ca="1">INDIRECT(ADDRESS($D77+130,7,4,TRUE,"Car+SUV"))</f>
        <v>5.5925669427783271</v>
      </c>
      <c r="H84" s="56">
        <f ca="1">INDIRECT(ADDRESS($D77+130,8,4,TRUE,"Car+SUV"))</f>
        <v>6.600006505389028</v>
      </c>
      <c r="I84" s="56">
        <f ca="1">INDIRECT(ADDRESS(D77+130,9,4,TRUE,"Car+SUV"))</f>
        <v>7.2553416516065052</v>
      </c>
      <c r="J84" s="56">
        <f ca="1">INDIRECT(ADDRESS(D77+130,10,4,TRUE,"Car+SUV"))</f>
        <v>8.4784903144674413</v>
      </c>
      <c r="K84" s="56">
        <f ca="1">INDIRECT(ADDRESS(D77+130,11,4,TRUE,"Car+SUV"))</f>
        <v>120.43852773591577</v>
      </c>
      <c r="L84" s="56">
        <f ca="1">INDIRECT(ADDRESS(D77+130,12,4,TRUE,"Car+SUV"))</f>
        <v>239.31641318596419</v>
      </c>
      <c r="M84" s="56">
        <f ca="1">INDIRECT(ADDRESS(D77+130,13,4,TRUE,"Car+SUV"))</f>
        <v>361.28393363559258</v>
      </c>
      <c r="N84" s="56">
        <f ca="1">INDIRECT(ADDRESS(D77+130,14,4,TRUE,"Car+SUV"))</f>
        <v>485.92270401196959</v>
      </c>
      <c r="O84" s="56">
        <f ca="1">INDIRECT(ADDRESS(D77+130,15,4,TRUE,"Car+SUV"))</f>
        <v>613.0320952710681</v>
      </c>
      <c r="P84" s="56">
        <f ca="1">INDIRECT(ADDRESS(D77+130,16,4,TRUE,"Car+SUV"))</f>
        <v>741.60874232855167</v>
      </c>
      <c r="Q84" s="57">
        <f ca="1">INDIRECT(ADDRESS(D77+130,17,4,TRUE,"Car+SUV"))</f>
        <v>871.61989841067657</v>
      </c>
    </row>
    <row r="85" spans="3:17" ht="15.5" x14ac:dyDescent="0.35">
      <c r="C85" s="24" t="s">
        <v>116</v>
      </c>
      <c r="D85" s="55">
        <f ca="1">INDIRECT(ADDRESS(D77+130,4,4,TRUE,"Van+Ute"))</f>
        <v>2.4511503593819159</v>
      </c>
      <c r="E85" s="56">
        <f ca="1">INDIRECT(ADDRESS(D77+130,5,4,TRUE,"Van+Ute"))</f>
        <v>2.2718274547835779</v>
      </c>
      <c r="F85" s="56">
        <f ca="1">INDIRECT(ADDRESS(D77+130,6,4,TRUE,"Van+Ute"))</f>
        <v>2.197500164416577</v>
      </c>
      <c r="G85" s="56">
        <f ca="1">INDIRECT(ADDRESS($D77+130,7,4,TRUE,"Van+Ute"))</f>
        <v>2.3410573730877977</v>
      </c>
      <c r="H85" s="56">
        <f ca="1">INDIRECT(ADDRESS($D77+130,8,4,TRUE,"Van+Ute"))</f>
        <v>2.197966981800124</v>
      </c>
      <c r="I85" s="56">
        <f ca="1">INDIRECT(ADDRESS(D77+130,9,4,TRUE,"Van+Ute"))</f>
        <v>2.6855471374361488</v>
      </c>
      <c r="J85" s="56">
        <f ca="1">INDIRECT(ADDRESS(D77+130,10,4,TRUE,"Van+Ute"))</f>
        <v>3.1382926521119048</v>
      </c>
      <c r="K85" s="56">
        <f ca="1">INDIRECT(ADDRESS(D77+130,11,4,TRUE,"Van+Ute"))</f>
        <v>24.402444658078082</v>
      </c>
      <c r="L85" s="56">
        <f ca="1">INDIRECT(ADDRESS(D77+130,12,4,TRUE,"Van+Ute"))</f>
        <v>46.961732160926424</v>
      </c>
      <c r="M85" s="56">
        <f ca="1">INDIRECT(ADDRESS(D77+130,13,4,TRUE,"Van+Ute"))</f>
        <v>70.104306583242987</v>
      </c>
      <c r="N85" s="56">
        <f ca="1">INDIRECT(ADDRESS(D77+130,14,4,TRUE,"Van+Ute"))</f>
        <v>93.770477872275023</v>
      </c>
      <c r="O85" s="56">
        <f ca="1">INDIRECT(ADDRESS(D77+130,15,4,TRUE,"Van+Ute"))</f>
        <v>117.89019387853409</v>
      </c>
      <c r="P85" s="56">
        <f ca="1">INDIRECT(ADDRESS(D77+130,16,4,TRUE,"Van+Ute"))</f>
        <v>142.30790265317762</v>
      </c>
      <c r="Q85" s="57">
        <f ca="1">INDIRECT(ADDRESS(D77+130,17,4,TRUE,"Van+Ute"))</f>
        <v>167.02055561272144</v>
      </c>
    </row>
    <row r="86" spans="3:17" ht="15.5" x14ac:dyDescent="0.35">
      <c r="C86" s="24" t="s">
        <v>43</v>
      </c>
      <c r="D86" s="55">
        <f ca="1">INDIRECT(ADDRESS(D77+6,4,4,TRUE,"Heavy Truck"))</f>
        <v>105.40675076508299</v>
      </c>
      <c r="E86" s="56">
        <f ca="1">INDIRECT(ADDRESS(D77+6,5,4,TRUE,"Heavy Truck"))</f>
        <v>106.76392106951823</v>
      </c>
      <c r="F86" s="56">
        <f ca="1">INDIRECT(ADDRESS(D77+6,6,4,TRUE,"Heavy Truck"))</f>
        <v>110.27688080452752</v>
      </c>
      <c r="G86" s="56">
        <f ca="1">INDIRECT(ADDRESS($D77+6,7,4,TRUE,"Heavy Truck"))</f>
        <v>111.58416614165577</v>
      </c>
      <c r="H86" s="56">
        <f ca="1">INDIRECT(ADDRESS($D77+6,8,4,TRUE,"Heavy Truck"))</f>
        <v>118.48078788976672</v>
      </c>
      <c r="I86" s="56">
        <f ca="1">INDIRECT(ADDRESS(D77+6,9,4,TRUE,"Heavy Truck"))</f>
        <v>114.7473871751812</v>
      </c>
      <c r="J86" s="56">
        <f ca="1">INDIRECT(ADDRESS(D77+6,10,4,TRUE,"Heavy Truck"))</f>
        <v>130.69859339428663</v>
      </c>
      <c r="K86" s="56">
        <f ca="1">INDIRECT(ADDRESS(D77+6,11,4,TRUE,"Heavy Truck"))</f>
        <v>133.13445662336596</v>
      </c>
      <c r="L86" s="56">
        <f ca="1">INDIRECT(ADDRESS(D77+6,12,4,TRUE,"Heavy Truck"))</f>
        <v>135.3710501992968</v>
      </c>
      <c r="M86" s="56">
        <f ca="1">INDIRECT(ADDRESS(D77+6,13,4,TRUE,"Heavy Truck"))</f>
        <v>129.15107198577689</v>
      </c>
      <c r="N86" s="56">
        <f ca="1">INDIRECT(ADDRESS(D77+6,14,4,TRUE,"Heavy Truck"))</f>
        <v>123.15536496726259</v>
      </c>
      <c r="O86" s="56">
        <f ca="1">INDIRECT(ADDRESS(D77+6,15,4,TRUE,"Heavy Truck"))</f>
        <v>122.2938185819485</v>
      </c>
      <c r="P86" s="56">
        <f ca="1">INDIRECT(ADDRESS(D77+6,16,4,TRUE,"Heavy Truck"))</f>
        <v>121.40000428574444</v>
      </c>
      <c r="Q86" s="57">
        <f ca="1">INDIRECT(ADDRESS(D77+6,17,4,TRUE,"Heavy Truck"))</f>
        <v>120.47603417027145</v>
      </c>
    </row>
    <row r="87" spans="3:17" ht="15.5" x14ac:dyDescent="0.35">
      <c r="C87" s="24" t="s">
        <v>44</v>
      </c>
      <c r="D87" s="55">
        <f ca="1">INDIRECT(ADDRESS(D77+6,4,4,TRUE,"Heavy Bus"))</f>
        <v>5.3007389387002126</v>
      </c>
      <c r="E87" s="56">
        <f ca="1">INDIRECT(ADDRESS(D77+6,5,4,TRUE,"Heavy Bus"))</f>
        <v>5.7748539322517694</v>
      </c>
      <c r="F87" s="56">
        <f ca="1">INDIRECT(ADDRESS(D77+6,6,4,TRUE,"Heavy Bus"))</f>
        <v>5.4696381884381386</v>
      </c>
      <c r="G87" s="56">
        <f ca="1">INDIRECT(ADDRESS($D77+6,7,4,TRUE,"Heavy Bus"))</f>
        <v>5.461851902141678</v>
      </c>
      <c r="H87" s="56">
        <f ca="1">INDIRECT(ADDRESS($D77+6,8,4,TRUE,"Heavy Bus"))</f>
        <v>5.410971667425196</v>
      </c>
      <c r="I87" s="56">
        <f ca="1">INDIRECT(ADDRESS(D77+6,9,4,TRUE,"Heavy Bus"))</f>
        <v>5.7064929489372167</v>
      </c>
      <c r="J87" s="56">
        <f ca="1">INDIRECT(ADDRESS(D77+6,10,4,TRUE,"Heavy Bus"))</f>
        <v>6.453391655985719</v>
      </c>
      <c r="K87" s="56">
        <f ca="1">INDIRECT(ADDRESS(D77+6,11,4,TRUE,"Heavy Bus"))</f>
        <v>7.1041147414249712</v>
      </c>
      <c r="L87" s="56">
        <f ca="1">INDIRECT(ADDRESS(D77+6,12,4,TRUE,"Heavy Bus"))</f>
        <v>7.7104670636763881</v>
      </c>
      <c r="M87" s="56">
        <f ca="1">INDIRECT(ADDRESS(D77+6,13,4,TRUE,"Heavy Bus"))</f>
        <v>8.4536217770551332</v>
      </c>
      <c r="N87" s="56">
        <f ca="1">INDIRECT(ADDRESS(D77+6,14,4,TRUE,"Heavy Bus"))</f>
        <v>9.3173168393480541</v>
      </c>
      <c r="O87" s="56">
        <f ca="1">INDIRECT(ADDRESS(D77+6,15,4,TRUE,"Heavy Bus"))</f>
        <v>10.428551422873552</v>
      </c>
      <c r="P87" s="56">
        <f ca="1">INDIRECT(ADDRESS(D77+6,16,4,TRUE,"Heavy Bus"))</f>
        <v>11.704726653937847</v>
      </c>
      <c r="Q87" s="57">
        <f ca="1">INDIRECT(ADDRESS(D77+6,17,4,TRUE,"Heavy Bus"))</f>
        <v>13.175660124687807</v>
      </c>
    </row>
    <row r="88" spans="3:17" ht="16" thickBot="1" x14ac:dyDescent="0.4">
      <c r="C88" s="24" t="s">
        <v>42</v>
      </c>
      <c r="D88" s="55">
        <f ca="1">INDIRECT(ADDRESS(D77+6,4,4,TRUE,"Motorcycle"))</f>
        <v>13.396909433695859</v>
      </c>
      <c r="E88" s="56">
        <f ca="1">INDIRECT(ADDRESS(D77+6,5,4,TRUE,"Motorcycle"))</f>
        <v>12.994284016766002</v>
      </c>
      <c r="F88" s="56">
        <f ca="1">INDIRECT(ADDRESS(D77+6,6,4,TRUE,"Motorcycle"))</f>
        <v>13.325722064347435</v>
      </c>
      <c r="G88" s="56">
        <f ca="1">INDIRECT(ADDRESS($D77+6,7,4,TRUE,"Motorcycle"))</f>
        <v>13.926317234083857</v>
      </c>
      <c r="H88" s="56">
        <f ca="1">INDIRECT(ADDRESS($D77+6,8,4,TRUE,"Motorcycle"))</f>
        <v>13.680742605734771</v>
      </c>
      <c r="I88" s="56">
        <f ca="1">INDIRECT(ADDRESS(D77+6,9,4,TRUE,"Motorcycle"))</f>
        <v>14.299886207325903</v>
      </c>
      <c r="J88" s="56">
        <f ca="1">INDIRECT(ADDRESS(D77+6,10,4,TRUE,"Motorcycle"))</f>
        <v>14.921556199535878</v>
      </c>
      <c r="K88" s="56">
        <f ca="1">INDIRECT(ADDRESS(D77+6,11,4,TRUE,"Motorcycle"))</f>
        <v>15.229604125979449</v>
      </c>
      <c r="L88" s="56">
        <f ca="1">INDIRECT(ADDRESS(D77+6,12,4,TRUE,"Motorcycle"))</f>
        <v>15.359429162334251</v>
      </c>
      <c r="M88" s="56">
        <f ca="1">INDIRECT(ADDRESS(D77+6,13,4,TRUE,"Motorcycle"))</f>
        <v>15.19983830687193</v>
      </c>
      <c r="N88" s="56">
        <f ca="1">INDIRECT(ADDRESS(D77+6,14,4,TRUE,"Motorcycle"))</f>
        <v>14.970758025726337</v>
      </c>
      <c r="O88" s="56">
        <f ca="1">INDIRECT(ADDRESS(D77+6,15,4,TRUE,"Motorcycle"))</f>
        <v>15.253936405627963</v>
      </c>
      <c r="P88" s="56">
        <f ca="1">INDIRECT(ADDRESS(D77+6,16,4,TRUE,"Motorcycle"))</f>
        <v>15.503228545547282</v>
      </c>
      <c r="Q88" s="57">
        <f ca="1">INDIRECT(ADDRESS(D77+6,17,4,TRUE,"Motorcycle"))</f>
        <v>15.733125471417768</v>
      </c>
    </row>
    <row r="89" spans="3:17" ht="16.5" thickTop="1" thickBot="1" x14ac:dyDescent="0.4">
      <c r="C89" s="31" t="s">
        <v>45</v>
      </c>
      <c r="D89" s="61">
        <f ca="1">SUM(D82:D88)</f>
        <v>1423.2688260531656</v>
      </c>
      <c r="E89" s="62">
        <f t="shared" ref="E89:Q89" ca="1" si="10">SUM(E82:E88)</f>
        <v>1424.8778446210301</v>
      </c>
      <c r="F89" s="62">
        <f t="shared" ca="1" si="10"/>
        <v>1493.7991799493011</v>
      </c>
      <c r="G89" s="62">
        <f t="shared" ca="1" si="10"/>
        <v>1566.819166610464</v>
      </c>
      <c r="H89" s="62">
        <f t="shared" ca="1" si="10"/>
        <v>1630.0157584464723</v>
      </c>
      <c r="I89" s="62">
        <f t="shared" ca="1" si="10"/>
        <v>1675.0243508185631</v>
      </c>
      <c r="J89" s="62">
        <f t="shared" ca="1" si="10"/>
        <v>1792.1277448395351</v>
      </c>
      <c r="K89" s="62">
        <f t="shared" ca="1" si="10"/>
        <v>1885.5121493973202</v>
      </c>
      <c r="L89" s="62">
        <f t="shared" ca="1" si="10"/>
        <v>1970.13400580539</v>
      </c>
      <c r="M89" s="62">
        <f t="shared" ca="1" si="10"/>
        <v>2033.1838921724632</v>
      </c>
      <c r="N89" s="62">
        <f t="shared" ca="1" si="10"/>
        <v>2095.5862845723564</v>
      </c>
      <c r="O89" s="62">
        <f t="shared" ca="1" si="10"/>
        <v>2164.5145265644151</v>
      </c>
      <c r="P89" s="62">
        <f t="shared" ca="1" si="10"/>
        <v>2229.9157089611549</v>
      </c>
      <c r="Q89" s="63">
        <f t="shared" ca="1" si="10"/>
        <v>2291.2460548875169</v>
      </c>
    </row>
    <row r="90" spans="3:17" ht="13" thickTop="1" x14ac:dyDescent="0.25">
      <c r="L90"/>
      <c r="N90" s="121"/>
    </row>
    <row r="91" spans="3:17" ht="13" thickBot="1" x14ac:dyDescent="0.3">
      <c r="L91"/>
      <c r="N91" s="121"/>
    </row>
    <row r="92" spans="3:17" ht="16.5" thickTop="1" thickBot="1" x14ac:dyDescent="0.4">
      <c r="C92" s="180" t="str">
        <f ca="1">INDIRECT(ADDRESS(D92+6,3,4,TRUE,"Car+SUV"))</f>
        <v>Taranaki</v>
      </c>
      <c r="D92" s="182">
        <v>7</v>
      </c>
      <c r="E92" t="s">
        <v>170</v>
      </c>
      <c r="L92"/>
      <c r="N92" s="121"/>
    </row>
    <row r="93" spans="3:17" ht="13.5" thickTop="1" thickBot="1" x14ac:dyDescent="0.3">
      <c r="L93"/>
      <c r="N93" s="121"/>
    </row>
    <row r="94" spans="3:17" ht="16" thickTop="1" x14ac:dyDescent="0.35">
      <c r="C94" s="32" t="s">
        <v>47</v>
      </c>
      <c r="D94" s="33"/>
      <c r="E94" s="33"/>
      <c r="F94" s="33"/>
      <c r="G94" s="33"/>
      <c r="H94" s="33"/>
      <c r="I94" s="33"/>
      <c r="J94" s="34"/>
      <c r="K94" s="34"/>
      <c r="L94" s="34"/>
      <c r="M94" s="34"/>
      <c r="N94" s="34"/>
      <c r="O94" s="34"/>
      <c r="P94" s="34"/>
      <c r="Q94" s="35"/>
    </row>
    <row r="95" spans="3:17" ht="13.5" thickBot="1" x14ac:dyDescent="0.35">
      <c r="C95" s="36"/>
      <c r="D95" s="37" t="s">
        <v>25</v>
      </c>
      <c r="E95" s="37" t="s">
        <v>37</v>
      </c>
      <c r="F95" s="37" t="s">
        <v>38</v>
      </c>
      <c r="G95" s="37" t="s">
        <v>177</v>
      </c>
      <c r="H95" s="37" t="s">
        <v>178</v>
      </c>
      <c r="I95" s="37" t="s">
        <v>26</v>
      </c>
      <c r="J95" s="37" t="s">
        <v>27</v>
      </c>
      <c r="K95" s="37" t="s">
        <v>28</v>
      </c>
      <c r="L95" s="37" t="s">
        <v>29</v>
      </c>
      <c r="M95" s="37" t="s">
        <v>30</v>
      </c>
      <c r="N95" s="37" t="s">
        <v>31</v>
      </c>
      <c r="O95" s="37" t="s">
        <v>174</v>
      </c>
      <c r="P95" s="37" t="s">
        <v>175</v>
      </c>
      <c r="Q95" s="38" t="s">
        <v>176</v>
      </c>
    </row>
    <row r="96" spans="3:17" ht="14" thickTop="1" thickBot="1" x14ac:dyDescent="0.35">
      <c r="C96" s="70"/>
      <c r="D96" s="71" t="s">
        <v>39</v>
      </c>
      <c r="E96" s="65" t="s">
        <v>39</v>
      </c>
      <c r="F96" s="65" t="s">
        <v>39</v>
      </c>
      <c r="G96" s="65" t="s">
        <v>39</v>
      </c>
      <c r="H96" s="65" t="s">
        <v>39</v>
      </c>
      <c r="I96" s="65" t="s">
        <v>39</v>
      </c>
      <c r="J96" s="65" t="s">
        <v>32</v>
      </c>
      <c r="K96" s="65" t="s">
        <v>32</v>
      </c>
      <c r="L96" s="65" t="s">
        <v>32</v>
      </c>
      <c r="M96" s="65" t="s">
        <v>32</v>
      </c>
      <c r="N96" s="65" t="s">
        <v>32</v>
      </c>
      <c r="O96" s="65" t="s">
        <v>32</v>
      </c>
      <c r="P96" s="65" t="s">
        <v>32</v>
      </c>
      <c r="Q96" s="66" t="s">
        <v>32</v>
      </c>
    </row>
    <row r="97" spans="3:17" ht="16" thickTop="1" x14ac:dyDescent="0.35">
      <c r="C97" s="24" t="s">
        <v>113</v>
      </c>
      <c r="D97" s="55">
        <f ca="1">INDIRECT(ADDRESS(D92+6,4,4,TRUE,"Car+SUV"))-D99</f>
        <v>719.70932019671011</v>
      </c>
      <c r="E97" s="53">
        <f ca="1">INDIRECT(ADDRESS(D92+6,5,4,TRUE,"Car+SUV"))-E99</f>
        <v>737.78468305555111</v>
      </c>
      <c r="F97" s="53">
        <f ca="1">INDIRECT(ADDRESS(D92+6,6,4,TRUE,"Car+SUV"))-F99</f>
        <v>762.06601452642144</v>
      </c>
      <c r="G97" s="53">
        <f ca="1">INDIRECT(ADDRESS($D92+6,7,4,TRUE,"Car+SUV"))-G99</f>
        <v>790.48844972816812</v>
      </c>
      <c r="H97" s="53">
        <f ca="1">INDIRECT(ADDRESS($D92+6,8,4,TRUE,"Car+SUV"))-H99</f>
        <v>813.12204080963784</v>
      </c>
      <c r="I97" s="53">
        <f ca="1">INDIRECT(ADDRESS(D92+6,9,4,TRUE,"Car+SUV"))-I99</f>
        <v>835.2739798770001</v>
      </c>
      <c r="J97" s="53">
        <f ca="1">INDIRECT(ADDRESS(D92+6,10,4,TRUE,"Car+SUV"))-J99</f>
        <v>888.93212297866421</v>
      </c>
      <c r="K97" s="53">
        <f ca="1">INDIRECT(ADDRESS(D92+6,11,4,TRUE,"Car+SUV"))-K99</f>
        <v>855.26079984971898</v>
      </c>
      <c r="L97" s="53">
        <f ca="1">INDIRECT(ADDRESS(D92+6,12,4,TRUE,"Car+SUV"))-L99</f>
        <v>811.62666693476808</v>
      </c>
      <c r="M97" s="53">
        <f ca="1">INDIRECT(ADDRESS(D92+6,13,4,TRUE,"Car+SUV"))-M99</f>
        <v>756.09876509216292</v>
      </c>
      <c r="N97" s="53">
        <f ca="1">INDIRECT(ADDRESS(D92+6,14,4,TRUE,"Car+SUV"))-N99</f>
        <v>695.30652182089329</v>
      </c>
      <c r="O97" s="53">
        <f ca="1">INDIRECT(ADDRESS(D92+6,15,4,TRUE,"Car+SUV"))-O99</f>
        <v>630.63959625779103</v>
      </c>
      <c r="P97" s="53">
        <f ca="1">INDIRECT(ADDRESS(D92+6,16,4,TRUE,"Car+SUV"))-P99</f>
        <v>561.32864639430909</v>
      </c>
      <c r="Q97" s="54">
        <f ca="1">INDIRECT(ADDRESS(D92+6,17,4,TRUE,"Car+SUV"))-Q99</f>
        <v>487.66370490847976</v>
      </c>
    </row>
    <row r="98" spans="3:17" ht="15.5" x14ac:dyDescent="0.35">
      <c r="C98" s="24" t="s">
        <v>114</v>
      </c>
      <c r="D98" s="55">
        <f ca="1">INDIRECT(ADDRESS(D92+6,4,4,TRUE,"Van+Ute"))-D100</f>
        <v>177.76887993560109</v>
      </c>
      <c r="E98" s="56">
        <f ca="1">INDIRECT(ADDRESS(D92+6,5,4,TRUE,"Van+Ute"))-E100</f>
        <v>186.97842401370514</v>
      </c>
      <c r="F98" s="56">
        <f ca="1">INDIRECT(ADDRESS(D92+6,6,4,TRUE,"Van+Ute"))-F100</f>
        <v>200.16013097579113</v>
      </c>
      <c r="G98" s="56">
        <f ca="1">INDIRECT(ADDRESS($D92+6,7,4,TRUE,"Van+Ute"))-G100</f>
        <v>210.3151697294883</v>
      </c>
      <c r="H98" s="56">
        <f ca="1">INDIRECT(ADDRESS($D92+6,8,4,TRUE,"Van+Ute"))-H100</f>
        <v>216.34403616748565</v>
      </c>
      <c r="I98" s="56">
        <f ca="1">INDIRECT(ADDRESS(D92+6,9,4,TRUE,"Van+Ute"))-I100</f>
        <v>231.48982311005253</v>
      </c>
      <c r="J98" s="56">
        <f ca="1">INDIRECT(ADDRESS(D92+6,10,4,TRUE,"Van+Ute"))-J100</f>
        <v>252.65750209063265</v>
      </c>
      <c r="K98" s="56">
        <f ca="1">INDIRECT(ADDRESS(D92+6,11,4,TRUE,"Van+Ute"))-K100</f>
        <v>256.97887393288329</v>
      </c>
      <c r="L98" s="56">
        <f ca="1">INDIRECT(ADDRESS(D92+6,12,4,TRUE,"Van+Ute"))-L100</f>
        <v>259.63399708918973</v>
      </c>
      <c r="M98" s="56">
        <f ca="1">INDIRECT(ADDRESS(D92+6,13,4,TRUE,"Van+Ute"))-M100</f>
        <v>260.92897756046409</v>
      </c>
      <c r="N98" s="56">
        <f ca="1">INDIRECT(ADDRESS(D92+6,14,4,TRUE,"Van+Ute"))-N100</f>
        <v>262.54443213020897</v>
      </c>
      <c r="O98" s="56">
        <f ca="1">INDIRECT(ADDRESS(D92+6,15,4,TRUE,"Van+Ute"))-O100</f>
        <v>264.39165590435874</v>
      </c>
      <c r="P98" s="56">
        <f ca="1">INDIRECT(ADDRESS(D92+6,16,4,TRUE,"Van+Ute"))-P100</f>
        <v>265.49010998708661</v>
      </c>
      <c r="Q98" s="57">
        <f ca="1">INDIRECT(ADDRESS(D92+6,17,4,TRUE,"Van+Ute"))-Q100</f>
        <v>265.35592361856106</v>
      </c>
    </row>
    <row r="99" spans="3:17" ht="15.5" x14ac:dyDescent="0.35">
      <c r="C99" s="24" t="s">
        <v>115</v>
      </c>
      <c r="D99" s="55">
        <f ca="1">INDIRECT(ADDRESS(D92+130,4,4,TRUE,"Car+SUV"))</f>
        <v>2.9741262112277385</v>
      </c>
      <c r="E99" s="56">
        <f ca="1">INDIRECT(ADDRESS(D92+130,5,4,TRUE,"Car+SUV"))</f>
        <v>3.21142605893656</v>
      </c>
      <c r="F99" s="56">
        <f ca="1">INDIRECT(ADDRESS(D92+130,6,4,TRUE,"Car+SUV"))</f>
        <v>3.0398365671850045</v>
      </c>
      <c r="G99" s="56">
        <f ca="1">INDIRECT(ADDRESS($D92+130,7,4,TRUE,"Car+SUV"))</f>
        <v>3.1589092859591887</v>
      </c>
      <c r="H99" s="56">
        <f ca="1">INDIRECT(ADDRESS($D92+130,8,4,TRUE,"Car+SUV"))</f>
        <v>3.5220969826324331</v>
      </c>
      <c r="I99" s="56">
        <f ca="1">INDIRECT(ADDRESS(D92+130,9,4,TRUE,"Car+SUV"))</f>
        <v>3.6283538683887078</v>
      </c>
      <c r="J99" s="56">
        <f ca="1">INDIRECT(ADDRESS(D92+130,10,4,TRUE,"Car+SUV"))</f>
        <v>4.2666015761968321</v>
      </c>
      <c r="K99" s="56">
        <f ca="1">INDIRECT(ADDRESS(D92+130,11,4,TRUE,"Car+SUV"))</f>
        <v>87.129007046604087</v>
      </c>
      <c r="L99" s="56">
        <f ca="1">INDIRECT(ADDRESS(D92+130,12,4,TRUE,"Car+SUV"))</f>
        <v>176.59303683086608</v>
      </c>
      <c r="M99" s="56">
        <f ca="1">INDIRECT(ADDRESS(D92+130,13,4,TRUE,"Car+SUV"))</f>
        <v>270.01088159902537</v>
      </c>
      <c r="N99" s="56">
        <f ca="1">INDIRECT(ADDRESS(D92+130,14,4,TRUE,"Car+SUV"))</f>
        <v>367.05443035019994</v>
      </c>
      <c r="O99" s="56">
        <f ca="1">INDIRECT(ADDRESS(D92+130,15,4,TRUE,"Car+SUV"))</f>
        <v>467.50585459069885</v>
      </c>
      <c r="P99" s="56">
        <f ca="1">INDIRECT(ADDRESS(D92+130,16,4,TRUE,"Car+SUV"))</f>
        <v>570.61602794219812</v>
      </c>
      <c r="Q99" s="57">
        <f ca="1">INDIRECT(ADDRESS(D92+130,17,4,TRUE,"Car+SUV"))</f>
        <v>676.34014284901968</v>
      </c>
    </row>
    <row r="100" spans="3:17" ht="15.5" x14ac:dyDescent="0.35">
      <c r="C100" s="24" t="s">
        <v>116</v>
      </c>
      <c r="D100" s="55">
        <f ca="1">INDIRECT(ADDRESS(D92+130,4,4,TRUE,"Van+Ute"))</f>
        <v>0.68053476523643142</v>
      </c>
      <c r="E100" s="56">
        <f ca="1">INDIRECT(ADDRESS(D92+130,5,4,TRUE,"Van+Ute"))</f>
        <v>0.80386093039357254</v>
      </c>
      <c r="F100" s="56">
        <f ca="1">INDIRECT(ADDRESS(D92+130,6,4,TRUE,"Van+Ute"))</f>
        <v>0.84075801682457829</v>
      </c>
      <c r="G100" s="56">
        <f ca="1">INDIRECT(ADDRESS($D92+130,7,4,TRUE,"Van+Ute"))</f>
        <v>0.8546097466833229</v>
      </c>
      <c r="H100" s="56">
        <f ca="1">INDIRECT(ADDRESS($D92+130,8,4,TRUE,"Van+Ute"))</f>
        <v>0.95416697611616907</v>
      </c>
      <c r="I100" s="56">
        <f ca="1">INDIRECT(ADDRESS(D92+130,9,4,TRUE,"Van+Ute"))</f>
        <v>1.0552287248493584</v>
      </c>
      <c r="J100" s="56">
        <f ca="1">INDIRECT(ADDRESS(D92+130,10,4,TRUE,"Van+Ute"))</f>
        <v>1.2408493504217704</v>
      </c>
      <c r="K100" s="56">
        <f ca="1">INDIRECT(ADDRESS(D92+130,11,4,TRUE,"Van+Ute"))</f>
        <v>16.499583864194296</v>
      </c>
      <c r="L100" s="56">
        <f ca="1">INDIRECT(ADDRESS(D92+130,12,4,TRUE,"Van+Ute"))</f>
        <v>32.968027670024391</v>
      </c>
      <c r="M100" s="56">
        <f ca="1">INDIRECT(ADDRESS(D92+130,13,4,TRUE,"Van+Ute"))</f>
        <v>50.162651368859507</v>
      </c>
      <c r="N100" s="56">
        <f ca="1">INDIRECT(ADDRESS(D92+130,14,4,TRUE,"Van+Ute"))</f>
        <v>68.028907640995072</v>
      </c>
      <c r="O100" s="56">
        <f ca="1">INDIRECT(ADDRESS(D92+130,15,4,TRUE,"Van+Ute"))</f>
        <v>86.516456407308723</v>
      </c>
      <c r="P100" s="56">
        <f ca="1">INDIRECT(ADDRESS(D92+130,16,4,TRUE,"Van+Ute"))</f>
        <v>105.49826659165078</v>
      </c>
      <c r="Q100" s="57">
        <f ca="1">INDIRECT(ADDRESS(D92+130,17,4,TRUE,"Van+Ute"))</f>
        <v>124.96699672218536</v>
      </c>
    </row>
    <row r="101" spans="3:17" ht="15.5" x14ac:dyDescent="0.35">
      <c r="C101" s="24" t="s">
        <v>43</v>
      </c>
      <c r="D101" s="55">
        <f ca="1">INDIRECT(ADDRESS(D92+6,4,4,TRUE,"Heavy Truck"))</f>
        <v>84.096097549876319</v>
      </c>
      <c r="E101" s="56">
        <f ca="1">INDIRECT(ADDRESS(D92+6,5,4,TRUE,"Heavy Truck"))</f>
        <v>87.906568292027828</v>
      </c>
      <c r="F101" s="56">
        <f ca="1">INDIRECT(ADDRESS(D92+6,6,4,TRUE,"Heavy Truck"))</f>
        <v>95.017511822066183</v>
      </c>
      <c r="G101" s="56">
        <f ca="1">INDIRECT(ADDRESS($D92+6,7,4,TRUE,"Heavy Truck"))</f>
        <v>97.182869967109781</v>
      </c>
      <c r="H101" s="56">
        <f ca="1">INDIRECT(ADDRESS($D92+6,8,4,TRUE,"Heavy Truck"))</f>
        <v>95.754915641963777</v>
      </c>
      <c r="I101" s="56">
        <f ca="1">INDIRECT(ADDRESS(D92+6,9,4,TRUE,"Heavy Truck"))</f>
        <v>100.47075899772253</v>
      </c>
      <c r="J101" s="56">
        <f ca="1">INDIRECT(ADDRESS(D92+6,10,4,TRUE,"Heavy Truck"))</f>
        <v>107.69733280129107</v>
      </c>
      <c r="K101" s="56">
        <f ca="1">INDIRECT(ADDRESS(D92+6,11,4,TRUE,"Heavy Truck"))</f>
        <v>109.50770297386153</v>
      </c>
      <c r="L101" s="56">
        <f ca="1">INDIRECT(ADDRESS(D92+6,12,4,TRUE,"Heavy Truck"))</f>
        <v>111.16356710129168</v>
      </c>
      <c r="M101" s="56">
        <f ca="1">INDIRECT(ADDRESS(D92+6,13,4,TRUE,"Heavy Truck"))</f>
        <v>111.0017143698764</v>
      </c>
      <c r="N101" s="56">
        <f ca="1">INDIRECT(ADDRESS(D92+6,14,4,TRUE,"Heavy Truck"))</f>
        <v>110.78040202575147</v>
      </c>
      <c r="O101" s="56">
        <f ca="1">INDIRECT(ADDRESS(D92+6,15,4,TRUE,"Heavy Truck"))</f>
        <v>110.31276046018115</v>
      </c>
      <c r="P101" s="56">
        <f ca="1">INDIRECT(ADDRESS(D92+6,16,4,TRUE,"Heavy Truck"))</f>
        <v>109.80095446057666</v>
      </c>
      <c r="Q101" s="57">
        <f ca="1">INDIRECT(ADDRESS(D92+6,17,4,TRUE,"Heavy Truck"))</f>
        <v>109.24744318115653</v>
      </c>
    </row>
    <row r="102" spans="3:17" ht="15.5" x14ac:dyDescent="0.35">
      <c r="C102" s="24" t="s">
        <v>44</v>
      </c>
      <c r="D102" s="55">
        <f ca="1">INDIRECT(ADDRESS(D92+6,4,4,TRUE,"Heavy Bus"))</f>
        <v>3.203949144786765</v>
      </c>
      <c r="E102" s="56">
        <f ca="1">INDIRECT(ADDRESS(D92+6,5,4,TRUE,"Heavy Bus"))</f>
        <v>3.5740403432055636</v>
      </c>
      <c r="F102" s="56">
        <f ca="1">INDIRECT(ADDRESS(D92+6,6,4,TRUE,"Heavy Bus"))</f>
        <v>3.8117059405101812</v>
      </c>
      <c r="G102" s="56">
        <f ca="1">INDIRECT(ADDRESS($D92+6,7,4,TRUE,"Heavy Bus"))</f>
        <v>3.4933687028547404</v>
      </c>
      <c r="H102" s="56">
        <f ca="1">INDIRECT(ADDRESS($D92+6,8,4,TRUE,"Heavy Bus"))</f>
        <v>3.5737925857278485</v>
      </c>
      <c r="I102" s="56">
        <f ca="1">INDIRECT(ADDRESS(D92+6,9,4,TRUE,"Heavy Bus"))</f>
        <v>3.4598368616574886</v>
      </c>
      <c r="J102" s="56">
        <f ca="1">INDIRECT(ADDRESS(D92+6,10,4,TRUE,"Heavy Bus"))</f>
        <v>4.0505077180727493</v>
      </c>
      <c r="K102" s="56">
        <f ca="1">INDIRECT(ADDRESS(D92+6,11,4,TRUE,"Heavy Bus"))</f>
        <v>4.5621409009764324</v>
      </c>
      <c r="L102" s="56">
        <f ca="1">INDIRECT(ADDRESS(D92+6,12,4,TRUE,"Heavy Bus"))</f>
        <v>5.0558558907321851</v>
      </c>
      <c r="M102" s="56">
        <f ca="1">INDIRECT(ADDRESS(D92+6,13,4,TRUE,"Heavy Bus"))</f>
        <v>5.6453162903067646</v>
      </c>
      <c r="N102" s="56">
        <f ca="1">INDIRECT(ADDRESS(D92+6,14,4,TRUE,"Heavy Bus"))</f>
        <v>6.3274197070616145</v>
      </c>
      <c r="O102" s="56">
        <f ca="1">INDIRECT(ADDRESS(D92+6,15,4,TRUE,"Heavy Bus"))</f>
        <v>7.1684746840221782</v>
      </c>
      <c r="P102" s="56">
        <f ca="1">INDIRECT(ADDRESS(D92+6,16,4,TRUE,"Heavy Bus"))</f>
        <v>8.136183229215856</v>
      </c>
      <c r="Q102" s="57">
        <f ca="1">INDIRECT(ADDRESS(D92+6,17,4,TRUE,"Heavy Bus"))</f>
        <v>9.2523311457901247</v>
      </c>
    </row>
    <row r="103" spans="3:17" ht="16" thickBot="1" x14ac:dyDescent="0.4">
      <c r="C103" s="24" t="s">
        <v>42</v>
      </c>
      <c r="D103" s="55">
        <f ca="1">INDIRECT(ADDRESS(D92+6,4,4,TRUE,"Motorcycle"))</f>
        <v>12.428778271332048</v>
      </c>
      <c r="E103" s="56">
        <f ca="1">INDIRECT(ADDRESS(D92+6,5,4,TRUE,"Motorcycle"))</f>
        <v>12.528740840905686</v>
      </c>
      <c r="F103" s="56">
        <f ca="1">INDIRECT(ADDRESS(D92+6,6,4,TRUE,"Motorcycle"))</f>
        <v>12.593895910580988</v>
      </c>
      <c r="G103" s="56">
        <f ca="1">INDIRECT(ADDRESS($D92+6,7,4,TRUE,"Motorcycle"))</f>
        <v>13.49188249984538</v>
      </c>
      <c r="H103" s="56">
        <f ca="1">INDIRECT(ADDRESS($D92+6,8,4,TRUE,"Motorcycle"))</f>
        <v>13.001290265147537</v>
      </c>
      <c r="I103" s="56">
        <f ca="1">INDIRECT(ADDRESS(D92+6,9,4,TRUE,"Motorcycle"))</f>
        <v>13.307284785148687</v>
      </c>
      <c r="J103" s="56">
        <f ca="1">INDIRECT(ADDRESS(D92+6,10,4,TRUE,"Motorcycle"))</f>
        <v>14.002782400463763</v>
      </c>
      <c r="K103" s="56">
        <f ca="1">INDIRECT(ADDRESS(D92+6,11,4,TRUE,"Motorcycle"))</f>
        <v>14.39552428011627</v>
      </c>
      <c r="L103" s="56">
        <f ca="1">INDIRECT(ADDRESS(D92+6,12,4,TRUE,"Motorcycle"))</f>
        <v>14.639256767089659</v>
      </c>
      <c r="M103" s="56">
        <f ca="1">INDIRECT(ADDRESS(D92+6,13,4,TRUE,"Motorcycle"))</f>
        <v>14.613600527580099</v>
      </c>
      <c r="N103" s="56">
        <f ca="1">INDIRECT(ADDRESS(D92+6,14,4,TRUE,"Motorcycle"))</f>
        <v>14.517555386975049</v>
      </c>
      <c r="O103" s="56">
        <f ca="1">INDIRECT(ADDRESS(D92+6,15,4,TRUE,"Motorcycle"))</f>
        <v>14.917026792649384</v>
      </c>
      <c r="P103" s="56">
        <f ca="1">INDIRECT(ADDRESS(D92+6,16,4,TRUE,"Motorcycle"))</f>
        <v>15.285901099506058</v>
      </c>
      <c r="Q103" s="57">
        <f ca="1">INDIRECT(ADDRESS(D92+6,17,4,TRUE,"Motorcycle"))</f>
        <v>15.637569492605</v>
      </c>
    </row>
    <row r="104" spans="3:17" ht="16.5" thickTop="1" thickBot="1" x14ac:dyDescent="0.4">
      <c r="C104" s="31" t="s">
        <v>45</v>
      </c>
      <c r="D104" s="61">
        <f ca="1">SUM(D97:D103)</f>
        <v>1000.8616860747704</v>
      </c>
      <c r="E104" s="62">
        <f t="shared" ref="E104:Q104" ca="1" si="11">SUM(E97:E103)</f>
        <v>1032.7877435347255</v>
      </c>
      <c r="F104" s="62">
        <f t="shared" ca="1" si="11"/>
        <v>1077.5298537593796</v>
      </c>
      <c r="G104" s="62">
        <f t="shared" ca="1" si="11"/>
        <v>1118.9852596601088</v>
      </c>
      <c r="H104" s="62">
        <f t="shared" ca="1" si="11"/>
        <v>1146.2723394287113</v>
      </c>
      <c r="I104" s="62">
        <f t="shared" ca="1" si="11"/>
        <v>1188.6852662248195</v>
      </c>
      <c r="J104" s="62">
        <f t="shared" ca="1" si="11"/>
        <v>1272.847698915743</v>
      </c>
      <c r="K104" s="62">
        <f t="shared" ca="1" si="11"/>
        <v>1344.3336328483549</v>
      </c>
      <c r="L104" s="62">
        <f t="shared" ca="1" si="11"/>
        <v>1411.6804082839617</v>
      </c>
      <c r="M104" s="62">
        <f t="shared" ca="1" si="11"/>
        <v>1468.4619068082752</v>
      </c>
      <c r="N104" s="62">
        <f t="shared" ca="1" si="11"/>
        <v>1524.5596690620855</v>
      </c>
      <c r="O104" s="62">
        <f t="shared" ca="1" si="11"/>
        <v>1581.45182509701</v>
      </c>
      <c r="P104" s="62">
        <f t="shared" ca="1" si="11"/>
        <v>1636.1560897045429</v>
      </c>
      <c r="Q104" s="63">
        <f t="shared" ca="1" si="11"/>
        <v>1688.4641119177975</v>
      </c>
    </row>
    <row r="105" spans="3:17" ht="13" thickTop="1" x14ac:dyDescent="0.25">
      <c r="L105"/>
      <c r="N105" s="121"/>
    </row>
    <row r="106" spans="3:17" ht="13" thickBot="1" x14ac:dyDescent="0.3">
      <c r="L106"/>
      <c r="N106" s="121"/>
    </row>
    <row r="107" spans="3:17" ht="16.5" thickTop="1" thickBot="1" x14ac:dyDescent="0.4">
      <c r="C107" s="180" t="str">
        <f ca="1">INDIRECT(ADDRESS(D107+6,3,4,TRUE,"Car+SUV"))</f>
        <v>Manawatu</v>
      </c>
      <c r="D107" s="182">
        <v>8</v>
      </c>
      <c r="E107" t="s">
        <v>170</v>
      </c>
      <c r="L107"/>
      <c r="N107" s="121"/>
    </row>
    <row r="108" spans="3:17" ht="13.5" thickTop="1" thickBot="1" x14ac:dyDescent="0.3">
      <c r="L108"/>
      <c r="N108" s="121"/>
    </row>
    <row r="109" spans="3:17" ht="16" thickTop="1" x14ac:dyDescent="0.35">
      <c r="C109" s="32" t="s">
        <v>47</v>
      </c>
      <c r="D109" s="33"/>
      <c r="E109" s="33"/>
      <c r="F109" s="33"/>
      <c r="G109" s="33"/>
      <c r="H109" s="33"/>
      <c r="I109" s="33"/>
      <c r="J109" s="34"/>
      <c r="K109" s="34"/>
      <c r="L109" s="34"/>
      <c r="M109" s="34"/>
      <c r="N109" s="34"/>
      <c r="O109" s="34"/>
      <c r="P109" s="34"/>
      <c r="Q109" s="35"/>
    </row>
    <row r="110" spans="3:17" ht="13.5" thickBot="1" x14ac:dyDescent="0.35">
      <c r="C110" s="36"/>
      <c r="D110" s="37" t="s">
        <v>25</v>
      </c>
      <c r="E110" s="37" t="s">
        <v>37</v>
      </c>
      <c r="F110" s="37" t="s">
        <v>38</v>
      </c>
      <c r="G110" s="37" t="s">
        <v>177</v>
      </c>
      <c r="H110" s="37" t="s">
        <v>178</v>
      </c>
      <c r="I110" s="37" t="s">
        <v>26</v>
      </c>
      <c r="J110" s="37" t="s">
        <v>27</v>
      </c>
      <c r="K110" s="37" t="s">
        <v>28</v>
      </c>
      <c r="L110" s="37" t="s">
        <v>29</v>
      </c>
      <c r="M110" s="37" t="s">
        <v>30</v>
      </c>
      <c r="N110" s="37" t="s">
        <v>31</v>
      </c>
      <c r="O110" s="37" t="s">
        <v>174</v>
      </c>
      <c r="P110" s="37" t="s">
        <v>175</v>
      </c>
      <c r="Q110" s="38" t="s">
        <v>176</v>
      </c>
    </row>
    <row r="111" spans="3:17" ht="14" thickTop="1" thickBot="1" x14ac:dyDescent="0.35">
      <c r="C111" s="70"/>
      <c r="D111" s="71" t="s">
        <v>39</v>
      </c>
      <c r="E111" s="65" t="s">
        <v>39</v>
      </c>
      <c r="F111" s="65" t="s">
        <v>39</v>
      </c>
      <c r="G111" s="65" t="s">
        <v>39</v>
      </c>
      <c r="H111" s="65" t="s">
        <v>39</v>
      </c>
      <c r="I111" s="65" t="s">
        <v>39</v>
      </c>
      <c r="J111" s="65" t="s">
        <v>32</v>
      </c>
      <c r="K111" s="65" t="s">
        <v>32</v>
      </c>
      <c r="L111" s="65" t="s">
        <v>32</v>
      </c>
      <c r="M111" s="65" t="s">
        <v>32</v>
      </c>
      <c r="N111" s="65" t="s">
        <v>32</v>
      </c>
      <c r="O111" s="65" t="s">
        <v>32</v>
      </c>
      <c r="P111" s="65" t="s">
        <v>32</v>
      </c>
      <c r="Q111" s="66" t="s">
        <v>32</v>
      </c>
    </row>
    <row r="112" spans="3:17" ht="16" thickTop="1" x14ac:dyDescent="0.35">
      <c r="C112" s="24" t="s">
        <v>113</v>
      </c>
      <c r="D112" s="55">
        <f ca="1">INDIRECT(ADDRESS(D107+6,4,4,TRUE,"Car+SUV"))-D114</f>
        <v>1667.5463250831183</v>
      </c>
      <c r="E112" s="53">
        <f ca="1">INDIRECT(ADDRESS(D107+6,5,4,TRUE,"Car+SUV"))-E114</f>
        <v>1684.5542922436161</v>
      </c>
      <c r="F112" s="53">
        <f ca="1">INDIRECT(ADDRESS(D107+6,6,4,TRUE,"Car+SUV"))-F114</f>
        <v>1712.3490956408768</v>
      </c>
      <c r="G112" s="53">
        <f ca="1">INDIRECT(ADDRESS($D107+6,7,4,TRUE,"Car+SUV"))-G114</f>
        <v>1789.8549012214396</v>
      </c>
      <c r="H112" s="53">
        <f ca="1">INDIRECT(ADDRESS($D107+6,8,4,TRUE,"Car+SUV"))-H114</f>
        <v>1833.1209435178664</v>
      </c>
      <c r="I112" s="53">
        <f ca="1">INDIRECT(ADDRESS(D107+6,9,4,TRUE,"Car+SUV"))-I114</f>
        <v>1826.2693871887545</v>
      </c>
      <c r="J112" s="53">
        <f ca="1">INDIRECT(ADDRESS(D107+6,10,4,TRUE,"Car+SUV"))-J114</f>
        <v>1905.3992955480267</v>
      </c>
      <c r="K112" s="53">
        <f ca="1">INDIRECT(ADDRESS(D107+6,11,4,TRUE,"Car+SUV"))-K114</f>
        <v>1805.1114919794277</v>
      </c>
      <c r="L112" s="53">
        <f ca="1">INDIRECT(ADDRESS(D107+6,12,4,TRUE,"Car+SUV"))-L114</f>
        <v>1685.9024555650012</v>
      </c>
      <c r="M112" s="53">
        <f ca="1">INDIRECT(ADDRESS(D107+6,13,4,TRUE,"Car+SUV"))-M114</f>
        <v>1546.1518101868623</v>
      </c>
      <c r="N112" s="53">
        <f ca="1">INDIRECT(ADDRESS(D107+6,14,4,TRUE,"Car+SUV"))-N114</f>
        <v>1399.5153613504219</v>
      </c>
      <c r="O112" s="53">
        <f ca="1">INDIRECT(ADDRESS(D107+6,15,4,TRUE,"Car+SUV"))-O114</f>
        <v>1251.3322023515284</v>
      </c>
      <c r="P112" s="53">
        <f ca="1">INDIRECT(ADDRESS(D107+6,16,4,TRUE,"Car+SUV"))-P114</f>
        <v>1099.8035038043772</v>
      </c>
      <c r="Q112" s="54">
        <f ca="1">INDIRECT(ADDRESS(D107+6,17,4,TRUE,"Car+SUV"))-Q114</f>
        <v>945.65341222619418</v>
      </c>
    </row>
    <row r="113" spans="3:17" ht="15.5" x14ac:dyDescent="0.35">
      <c r="C113" s="24" t="s">
        <v>114</v>
      </c>
      <c r="D113" s="55">
        <f ca="1">INDIRECT(ADDRESS(D107+6,4,4,TRUE,"Van+Ute"))-D115</f>
        <v>422.47264033799627</v>
      </c>
      <c r="E113" s="56">
        <f ca="1">INDIRECT(ADDRESS(D107+6,5,4,TRUE,"Van+Ute"))-E115</f>
        <v>439.81304487013466</v>
      </c>
      <c r="F113" s="56">
        <f ca="1">INDIRECT(ADDRESS(D107+6,6,4,TRUE,"Van+Ute"))-F115</f>
        <v>461.7981970337629</v>
      </c>
      <c r="G113" s="56">
        <f ca="1">INDIRECT(ADDRESS($D107+6,7,4,TRUE,"Van+Ute"))-G115</f>
        <v>498.79709422390221</v>
      </c>
      <c r="H113" s="56">
        <f ca="1">INDIRECT(ADDRESS($D107+6,8,4,TRUE,"Van+Ute"))-H115</f>
        <v>521.86414254872511</v>
      </c>
      <c r="I113" s="56">
        <f ca="1">INDIRECT(ADDRESS(D107+6,9,4,TRUE,"Van+Ute"))-I115</f>
        <v>554.21606550599006</v>
      </c>
      <c r="J113" s="56">
        <f ca="1">INDIRECT(ADDRESS(D107+6,10,4,TRUE,"Van+Ute"))-J115</f>
        <v>593.01564442846552</v>
      </c>
      <c r="K113" s="56">
        <f ca="1">INDIRECT(ADDRESS(D107+6,11,4,TRUE,"Van+Ute"))-K115</f>
        <v>593.77340992581878</v>
      </c>
      <c r="L113" s="56">
        <f ca="1">INDIRECT(ADDRESS(D107+6,12,4,TRUE,"Van+Ute"))-L115</f>
        <v>590.10911114802127</v>
      </c>
      <c r="M113" s="56">
        <f ca="1">INDIRECT(ADDRESS(D107+6,13,4,TRUE,"Van+Ute"))-M115</f>
        <v>583.25682685466279</v>
      </c>
      <c r="N113" s="56">
        <f ca="1">INDIRECT(ADDRESS(D107+6,14,4,TRUE,"Van+Ute"))-N115</f>
        <v>576.66625585138968</v>
      </c>
      <c r="O113" s="56">
        <f ca="1">INDIRECT(ADDRESS(D107+6,15,4,TRUE,"Van+Ute"))-O115</f>
        <v>570.83952347894672</v>
      </c>
      <c r="P113" s="56">
        <f ca="1">INDIRECT(ADDRESS(D107+6,16,4,TRUE,"Van+Ute"))-P115</f>
        <v>563.56686578432766</v>
      </c>
      <c r="Q113" s="57">
        <f ca="1">INDIRECT(ADDRESS(D107+6,17,4,TRUE,"Van+Ute"))-Q115</f>
        <v>553.91294002585778</v>
      </c>
    </row>
    <row r="114" spans="3:17" ht="15.5" x14ac:dyDescent="0.35">
      <c r="C114" s="24" t="s">
        <v>115</v>
      </c>
      <c r="D114" s="55">
        <f ca="1">INDIRECT(ADDRESS(D107+130,4,4,TRUE,"Car+SUV"))</f>
        <v>5.7204030860473782</v>
      </c>
      <c r="E114" s="56">
        <f ca="1">INDIRECT(ADDRESS(D107+130,5,4,TRUE,"Car+SUV"))</f>
        <v>5.3954913312601098</v>
      </c>
      <c r="F114" s="56">
        <f ca="1">INDIRECT(ADDRESS(D107+130,6,4,TRUE,"Car+SUV"))</f>
        <v>5.1963250401497838</v>
      </c>
      <c r="G114" s="56">
        <f ca="1">INDIRECT(ADDRESS($D107+130,7,4,TRUE,"Car+SUV"))</f>
        <v>5.4761196976938251</v>
      </c>
      <c r="H114" s="56">
        <f ca="1">INDIRECT(ADDRESS($D107+130,8,4,TRUE,"Car+SUV"))</f>
        <v>6.3621550769599597</v>
      </c>
      <c r="I114" s="56">
        <f ca="1">INDIRECT(ADDRESS(D107+130,9,4,TRUE,"Car+SUV"))</f>
        <v>7.1050532488696954</v>
      </c>
      <c r="J114" s="56">
        <f ca="1">INDIRECT(ADDRESS(D107+130,10,4,TRUE,"Car+SUV"))</f>
        <v>8.2289705514736955</v>
      </c>
      <c r="K114" s="56">
        <f ca="1">INDIRECT(ADDRESS(D107+130,11,4,TRUE,"Car+SUV"))</f>
        <v>180.25723267711942</v>
      </c>
      <c r="L114" s="56">
        <f ca="1">INDIRECT(ADDRESS(D107+130,12,4,TRUE,"Car+SUV"))</f>
        <v>359.45263929667078</v>
      </c>
      <c r="M114" s="56">
        <f ca="1">INDIRECT(ADDRESS(D107+130,13,4,TRUE,"Car+SUV"))</f>
        <v>539.70408264226819</v>
      </c>
      <c r="N114" s="56">
        <f ca="1">INDIRECT(ADDRESS(D107+130,14,4,TRUE,"Car+SUV"))</f>
        <v>719.38948535844679</v>
      </c>
      <c r="O114" s="56">
        <f ca="1">INDIRECT(ADDRESS(D107+130,15,4,TRUE,"Car+SUV"))</f>
        <v>898.6950945844992</v>
      </c>
      <c r="P114" s="56">
        <f ca="1">INDIRECT(ADDRESS(D107+130,16,4,TRUE,"Car+SUV"))</f>
        <v>1075.9302518706536</v>
      </c>
      <c r="Q114" s="57">
        <f ca="1">INDIRECT(ADDRESS(D107+130,17,4,TRUE,"Car+SUV"))</f>
        <v>1251.0327952314874</v>
      </c>
    </row>
    <row r="115" spans="3:17" ht="15.5" x14ac:dyDescent="0.35">
      <c r="C115" s="24" t="s">
        <v>116</v>
      </c>
      <c r="D115" s="55">
        <f ca="1">INDIRECT(ADDRESS(D107+130,4,4,TRUE,"Van+Ute"))</f>
        <v>2.7309031965776076</v>
      </c>
      <c r="E115" s="56">
        <f ca="1">INDIRECT(ADDRESS(D107+130,5,4,TRUE,"Van+Ute"))</f>
        <v>2.9807477499217496</v>
      </c>
      <c r="F115" s="56">
        <f ca="1">INDIRECT(ADDRESS(D107+130,6,4,TRUE,"Van+Ute"))</f>
        <v>2.7141562219919431</v>
      </c>
      <c r="G115" s="56">
        <f ca="1">INDIRECT(ADDRESS($D107+130,7,4,TRUE,"Van+Ute"))</f>
        <v>2.7545407050458715</v>
      </c>
      <c r="H115" s="56">
        <f ca="1">INDIRECT(ADDRESS($D107+130,8,4,TRUE,"Van+Ute"))</f>
        <v>3.612925313599197</v>
      </c>
      <c r="I115" s="56">
        <f ca="1">INDIRECT(ADDRESS(D107+130,9,4,TRUE,"Van+Ute"))</f>
        <v>3.2764336870372355</v>
      </c>
      <c r="J115" s="56">
        <f ca="1">INDIRECT(ADDRESS(D107+130,10,4,TRUE,"Van+Ute"))</f>
        <v>3.7947184039436976</v>
      </c>
      <c r="K115" s="56">
        <f ca="1">INDIRECT(ADDRESS(D107+130,11,4,TRUE,"Van+Ute"))</f>
        <v>38.423080921121972</v>
      </c>
      <c r="L115" s="56">
        <f ca="1">INDIRECT(ADDRESS(D107+130,12,4,TRUE,"Van+Ute"))</f>
        <v>74.47177339082404</v>
      </c>
      <c r="M115" s="56">
        <f ca="1">INDIRECT(ADDRESS(D107+130,13,4,TRUE,"Van+Ute"))</f>
        <v>110.7328518052357</v>
      </c>
      <c r="N115" s="56">
        <f ca="1">INDIRECT(ADDRESS(D107+130,14,4,TRUE,"Van+Ute"))</f>
        <v>146.90581455358264</v>
      </c>
      <c r="O115" s="56">
        <f ca="1">INDIRECT(ADDRESS(D107+130,15,4,TRUE,"Van+Ute"))</f>
        <v>182.98920528117529</v>
      </c>
      <c r="P115" s="56">
        <f ca="1">INDIRECT(ADDRESS(D107+130,16,4,TRUE,"Van+Ute"))</f>
        <v>218.68861442612661</v>
      </c>
      <c r="Q115" s="57">
        <f ca="1">INDIRECT(ADDRESS(D107+130,17,4,TRUE,"Van+Ute"))</f>
        <v>253.99624172438484</v>
      </c>
    </row>
    <row r="116" spans="3:17" ht="15.5" x14ac:dyDescent="0.35">
      <c r="C116" s="24" t="s">
        <v>43</v>
      </c>
      <c r="D116" s="55">
        <f ca="1">INDIRECT(ADDRESS(D107+6,4,4,TRUE,"Heavy Truck"))</f>
        <v>189.52653351064563</v>
      </c>
      <c r="E116" s="56">
        <f ca="1">INDIRECT(ADDRESS(D107+6,5,4,TRUE,"Heavy Truck"))</f>
        <v>192.89161165616255</v>
      </c>
      <c r="F116" s="56">
        <f ca="1">INDIRECT(ADDRESS(D107+6,6,4,TRUE,"Heavy Truck"))</f>
        <v>199.05709684352797</v>
      </c>
      <c r="G116" s="56">
        <f ca="1">INDIRECT(ADDRESS($D107+6,7,4,TRUE,"Heavy Truck"))</f>
        <v>208.5474490765514</v>
      </c>
      <c r="H116" s="56">
        <f ca="1">INDIRECT(ADDRESS($D107+6,8,4,TRUE,"Heavy Truck"))</f>
        <v>210.09530635285617</v>
      </c>
      <c r="I116" s="56">
        <f ca="1">INDIRECT(ADDRESS(D107+6,9,4,TRUE,"Heavy Truck"))</f>
        <v>225.54308306091897</v>
      </c>
      <c r="J116" s="56">
        <f ca="1">INDIRECT(ADDRESS(D107+6,10,4,TRUE,"Heavy Truck"))</f>
        <v>246.57684282241956</v>
      </c>
      <c r="K116" s="56">
        <f ca="1">INDIRECT(ADDRESS(D107+6,11,4,TRUE,"Heavy Truck"))</f>
        <v>253.15992955515057</v>
      </c>
      <c r="L116" s="56">
        <f ca="1">INDIRECT(ADDRESS(D107+6,12,4,TRUE,"Heavy Truck"))</f>
        <v>259.26916774165807</v>
      </c>
      <c r="M116" s="56">
        <f ca="1">INDIRECT(ADDRESS(D107+6,13,4,TRUE,"Heavy Truck"))</f>
        <v>259.4058509663335</v>
      </c>
      <c r="N116" s="56">
        <f ca="1">INDIRECT(ADDRESS(D107+6,14,4,TRUE,"Heavy Truck"))</f>
        <v>259.37852764978811</v>
      </c>
      <c r="O116" s="56">
        <f ca="1">INDIRECT(ADDRESS(D107+6,15,4,TRUE,"Heavy Truck"))</f>
        <v>257.92410136168957</v>
      </c>
      <c r="P116" s="56">
        <f ca="1">INDIRECT(ADDRESS(D107+6,16,4,TRUE,"Heavy Truck"))</f>
        <v>256.38397812194791</v>
      </c>
      <c r="Q116" s="57">
        <f ca="1">INDIRECT(ADDRESS(D107+6,17,4,TRUE,"Heavy Truck"))</f>
        <v>254.76326150861885</v>
      </c>
    </row>
    <row r="117" spans="3:17" ht="15.5" x14ac:dyDescent="0.35">
      <c r="C117" s="24" t="s">
        <v>44</v>
      </c>
      <c r="D117" s="55">
        <f ca="1">INDIRECT(ADDRESS(D107+6,4,4,TRUE,"Heavy Bus"))</f>
        <v>8.1031372449564749</v>
      </c>
      <c r="E117" s="56">
        <f ca="1">INDIRECT(ADDRESS(D107+6,5,4,TRUE,"Heavy Bus"))</f>
        <v>8.680327588734146</v>
      </c>
      <c r="F117" s="56">
        <f ca="1">INDIRECT(ADDRESS(D107+6,6,4,TRUE,"Heavy Bus"))</f>
        <v>8.8252999028763366</v>
      </c>
      <c r="G117" s="56">
        <f ca="1">INDIRECT(ADDRESS($D107+6,7,4,TRUE,"Heavy Bus"))</f>
        <v>9.2252425092049108</v>
      </c>
      <c r="H117" s="56">
        <f ca="1">INDIRECT(ADDRESS($D107+6,8,4,TRUE,"Heavy Bus"))</f>
        <v>9.6975881647231397</v>
      </c>
      <c r="I117" s="56">
        <f ca="1">INDIRECT(ADDRESS(D107+6,9,4,TRUE,"Heavy Bus"))</f>
        <v>10.283034094080584</v>
      </c>
      <c r="J117" s="56">
        <f ca="1">INDIRECT(ADDRESS(D107+6,10,4,TRUE,"Heavy Bus"))</f>
        <v>11.568032440310073</v>
      </c>
      <c r="K117" s="56">
        <f ca="1">INDIRECT(ADDRESS(D107+6,11,4,TRUE,"Heavy Bus"))</f>
        <v>12.691786287623033</v>
      </c>
      <c r="L117" s="56">
        <f ca="1">INDIRECT(ADDRESS(D107+6,12,4,TRUE,"Heavy Bus"))</f>
        <v>13.74088572561684</v>
      </c>
      <c r="M117" s="56">
        <f ca="1">INDIRECT(ADDRESS(D107+6,13,4,TRUE,"Heavy Bus"))</f>
        <v>15.037629025314555</v>
      </c>
      <c r="N117" s="56">
        <f ca="1">INDIRECT(ADDRESS(D107+6,14,4,TRUE,"Heavy Bus"))</f>
        <v>16.549389818172056</v>
      </c>
      <c r="O117" s="56">
        <f ca="1">INDIRECT(ADDRESS(D107+6,15,4,TRUE,"Heavy Bus"))</f>
        <v>18.498645426020566</v>
      </c>
      <c r="P117" s="56">
        <f ca="1">INDIRECT(ADDRESS(D107+6,16,4,TRUE,"Heavy Bus"))</f>
        <v>20.744903974751093</v>
      </c>
      <c r="Q117" s="57">
        <f ca="1">INDIRECT(ADDRESS(D107+6,17,4,TRUE,"Heavy Bus"))</f>
        <v>23.341961304105649</v>
      </c>
    </row>
    <row r="118" spans="3:17" ht="16" thickBot="1" x14ac:dyDescent="0.4">
      <c r="C118" s="24" t="s">
        <v>42</v>
      </c>
      <c r="D118" s="55">
        <f ca="1">INDIRECT(ADDRESS(D107+6,4,4,TRUE,"Motorcycle"))</f>
        <v>25.885007357844472</v>
      </c>
      <c r="E118" s="56">
        <f ca="1">INDIRECT(ADDRESS(D107+6,5,4,TRUE,"Motorcycle"))</f>
        <v>26.871294941996638</v>
      </c>
      <c r="F118" s="56">
        <f ca="1">INDIRECT(ADDRESS(D107+6,6,4,TRUE,"Motorcycle"))</f>
        <v>26.744921835507391</v>
      </c>
      <c r="G118" s="56">
        <f ca="1">INDIRECT(ADDRESS($D107+6,7,4,TRUE,"Motorcycle"))</f>
        <v>29.131111746868683</v>
      </c>
      <c r="H118" s="56">
        <f ca="1">INDIRECT(ADDRESS($D107+6,8,4,TRUE,"Motorcycle"))</f>
        <v>27.613416852924839</v>
      </c>
      <c r="I118" s="56">
        <f ca="1">INDIRECT(ADDRESS(D107+6,9,4,TRUE,"Motorcycle"))</f>
        <v>25.889811207649004</v>
      </c>
      <c r="J118" s="56">
        <f ca="1">INDIRECT(ADDRESS(D107+6,10,4,TRUE,"Motorcycle"))</f>
        <v>26.689677096511073</v>
      </c>
      <c r="K118" s="56">
        <f ca="1">INDIRECT(ADDRESS(D107+6,11,4,TRUE,"Motorcycle"))</f>
        <v>26.966740732024956</v>
      </c>
      <c r="L118" s="56">
        <f ca="1">INDIRECT(ADDRESS(D107+6,12,4,TRUE,"Motorcycle"))</f>
        <v>26.927300689444934</v>
      </c>
      <c r="M118" s="56">
        <f ca="1">INDIRECT(ADDRESS(D107+6,13,4,TRUE,"Motorcycle"))</f>
        <v>26.382131421614666</v>
      </c>
      <c r="N118" s="56">
        <f ca="1">INDIRECT(ADDRESS(D107+6,14,4,TRUE,"Motorcycle"))</f>
        <v>25.694873674901828</v>
      </c>
      <c r="O118" s="56">
        <f ca="1">INDIRECT(ADDRESS(D107+6,15,4,TRUE,"Motorcycle"))</f>
        <v>25.887150434042102</v>
      </c>
      <c r="P118" s="56">
        <f ca="1">INDIRECT(ADDRESS(D107+6,16,4,TRUE,"Motorcycle"))</f>
        <v>26.013488005908037</v>
      </c>
      <c r="Q118" s="57">
        <f ca="1">INDIRECT(ADDRESS(D107+6,17,4,TRUE,"Motorcycle"))</f>
        <v>26.100391409593886</v>
      </c>
    </row>
    <row r="119" spans="3:17" ht="16.5" thickTop="1" thickBot="1" x14ac:dyDescent="0.4">
      <c r="C119" s="31" t="s">
        <v>45</v>
      </c>
      <c r="D119" s="61">
        <f ca="1">SUM(D112:D118)</f>
        <v>2321.9849498171861</v>
      </c>
      <c r="E119" s="62">
        <f t="shared" ref="E119:Q119" ca="1" si="12">SUM(E112:E118)</f>
        <v>2361.1868103818256</v>
      </c>
      <c r="F119" s="62">
        <f t="shared" ca="1" si="12"/>
        <v>2416.6850925186932</v>
      </c>
      <c r="G119" s="62">
        <f t="shared" ca="1" si="12"/>
        <v>2543.7864591807061</v>
      </c>
      <c r="H119" s="62">
        <f t="shared" ca="1" si="12"/>
        <v>2612.3664778276548</v>
      </c>
      <c r="I119" s="62">
        <f t="shared" ca="1" si="12"/>
        <v>2652.5828679933002</v>
      </c>
      <c r="J119" s="62">
        <f t="shared" ca="1" si="12"/>
        <v>2795.2731812911497</v>
      </c>
      <c r="K119" s="62">
        <f t="shared" ca="1" si="12"/>
        <v>2910.3836720782861</v>
      </c>
      <c r="L119" s="62">
        <f t="shared" ca="1" si="12"/>
        <v>3009.8733335572374</v>
      </c>
      <c r="M119" s="62">
        <f t="shared" ca="1" si="12"/>
        <v>3080.671182902292</v>
      </c>
      <c r="N119" s="62">
        <f t="shared" ca="1" si="12"/>
        <v>3144.0997082567037</v>
      </c>
      <c r="O119" s="62">
        <f t="shared" ca="1" si="12"/>
        <v>3206.1659229179022</v>
      </c>
      <c r="P119" s="62">
        <f t="shared" ca="1" si="12"/>
        <v>3261.1316059880924</v>
      </c>
      <c r="Q119" s="63">
        <f t="shared" ca="1" si="12"/>
        <v>3308.8010034302429</v>
      </c>
    </row>
    <row r="120" spans="3:17" ht="13" thickTop="1" x14ac:dyDescent="0.25">
      <c r="L120"/>
      <c r="N120" s="121"/>
    </row>
    <row r="121" spans="3:17" ht="13" thickBot="1" x14ac:dyDescent="0.3">
      <c r="L121"/>
      <c r="N121" s="121"/>
    </row>
    <row r="122" spans="3:17" ht="16.5" thickTop="1" thickBot="1" x14ac:dyDescent="0.4">
      <c r="C122" s="180" t="str">
        <f ca="1">INDIRECT(ADDRESS(D122+6,3,4,TRUE,"Car+SUV"))</f>
        <v>Wellington</v>
      </c>
      <c r="D122" s="182">
        <v>9</v>
      </c>
      <c r="E122" t="s">
        <v>170</v>
      </c>
      <c r="L122"/>
      <c r="N122" s="121"/>
    </row>
    <row r="123" spans="3:17" ht="13.5" thickTop="1" thickBot="1" x14ac:dyDescent="0.3">
      <c r="L123"/>
      <c r="N123" s="121"/>
    </row>
    <row r="124" spans="3:17" ht="16" thickTop="1" x14ac:dyDescent="0.35">
      <c r="C124" s="32" t="s">
        <v>47</v>
      </c>
      <c r="D124" s="33"/>
      <c r="E124" s="33"/>
      <c r="F124" s="33"/>
      <c r="G124" s="33"/>
      <c r="H124" s="33"/>
      <c r="I124" s="33"/>
      <c r="J124" s="34"/>
      <c r="K124" s="34"/>
      <c r="L124" s="34"/>
      <c r="M124" s="34"/>
      <c r="N124" s="34"/>
      <c r="O124" s="34"/>
      <c r="P124" s="34"/>
      <c r="Q124" s="35"/>
    </row>
    <row r="125" spans="3:17" ht="13.5" thickBot="1" x14ac:dyDescent="0.35">
      <c r="C125" s="36"/>
      <c r="D125" s="37" t="s">
        <v>25</v>
      </c>
      <c r="E125" s="37" t="s">
        <v>37</v>
      </c>
      <c r="F125" s="37" t="s">
        <v>38</v>
      </c>
      <c r="G125" s="37" t="s">
        <v>177</v>
      </c>
      <c r="H125" s="37" t="s">
        <v>178</v>
      </c>
      <c r="I125" s="37" t="s">
        <v>26</v>
      </c>
      <c r="J125" s="37" t="s">
        <v>27</v>
      </c>
      <c r="K125" s="37" t="s">
        <v>28</v>
      </c>
      <c r="L125" s="37" t="s">
        <v>29</v>
      </c>
      <c r="M125" s="37" t="s">
        <v>30</v>
      </c>
      <c r="N125" s="37" t="s">
        <v>31</v>
      </c>
      <c r="O125" s="37" t="s">
        <v>174</v>
      </c>
      <c r="P125" s="37" t="s">
        <v>175</v>
      </c>
      <c r="Q125" s="38" t="s">
        <v>176</v>
      </c>
    </row>
    <row r="126" spans="3:17" ht="14" thickTop="1" thickBot="1" x14ac:dyDescent="0.35">
      <c r="C126" s="70"/>
      <c r="D126" s="71" t="s">
        <v>39</v>
      </c>
      <c r="E126" s="65" t="s">
        <v>39</v>
      </c>
      <c r="F126" s="65" t="s">
        <v>39</v>
      </c>
      <c r="G126" s="65" t="s">
        <v>39</v>
      </c>
      <c r="H126" s="65" t="s">
        <v>39</v>
      </c>
      <c r="I126" s="65" t="s">
        <v>39</v>
      </c>
      <c r="J126" s="65" t="s">
        <v>32</v>
      </c>
      <c r="K126" s="65" t="s">
        <v>32</v>
      </c>
      <c r="L126" s="65" t="s">
        <v>32</v>
      </c>
      <c r="M126" s="65" t="s">
        <v>32</v>
      </c>
      <c r="N126" s="65" t="s">
        <v>32</v>
      </c>
      <c r="O126" s="65" t="s">
        <v>32</v>
      </c>
      <c r="P126" s="65" t="s">
        <v>32</v>
      </c>
      <c r="Q126" s="66" t="s">
        <v>32</v>
      </c>
    </row>
    <row r="127" spans="3:17" ht="16" thickTop="1" x14ac:dyDescent="0.35">
      <c r="C127" s="24" t="s">
        <v>113</v>
      </c>
      <c r="D127" s="55">
        <f ca="1">INDIRECT(ADDRESS(D122+6,4,4,TRUE,"Car+SUV"))-D129</f>
        <v>2714.4180307000956</v>
      </c>
      <c r="E127" s="53">
        <f ca="1">INDIRECT(ADDRESS(D122+6,5,4,TRUE,"Car+SUV"))-E129</f>
        <v>2760.8021569614457</v>
      </c>
      <c r="F127" s="53">
        <f ca="1">INDIRECT(ADDRESS(D122+6,6,4,TRUE,"Car+SUV"))-F129</f>
        <v>2956.2935522362964</v>
      </c>
      <c r="G127" s="53">
        <f ca="1">INDIRECT(ADDRESS($D122+6,7,4,TRUE,"Car+SUV"))-G129</f>
        <v>2883.0864245313724</v>
      </c>
      <c r="H127" s="53">
        <f ca="1">INDIRECT(ADDRESS($D122+6,8,4,TRUE,"Car+SUV"))-H129</f>
        <v>2863.8012708961887</v>
      </c>
      <c r="I127" s="53">
        <f ca="1">INDIRECT(ADDRESS(D122+6,9,4,TRUE,"Car+SUV"))-I129</f>
        <v>2953.6082076539315</v>
      </c>
      <c r="J127" s="53">
        <f ca="1">INDIRECT(ADDRESS(D122+6,10,4,TRUE,"Car+SUV"))-J129</f>
        <v>3151.8037720491329</v>
      </c>
      <c r="K127" s="53">
        <f ca="1">INDIRECT(ADDRESS(D122+6,11,4,TRUE,"Car+SUV"))-K129</f>
        <v>3051.3453763771322</v>
      </c>
      <c r="L127" s="53">
        <f ca="1">INDIRECT(ADDRESS(D122+6,12,4,TRUE,"Car+SUV"))-L129</f>
        <v>2916.4234551773866</v>
      </c>
      <c r="M127" s="53">
        <f ca="1">INDIRECT(ADDRESS(D122+6,13,4,TRUE,"Car+SUV"))-M129</f>
        <v>2739.5795617108361</v>
      </c>
      <c r="N127" s="53">
        <f ca="1">INDIRECT(ADDRESS(D122+6,14,4,TRUE,"Car+SUV"))-N129</f>
        <v>2543.6684978576022</v>
      </c>
      <c r="O127" s="53">
        <f ca="1">INDIRECT(ADDRESS(D122+6,15,4,TRUE,"Car+SUV"))-O129</f>
        <v>2336.7162031952876</v>
      </c>
      <c r="P127" s="53">
        <f ca="1">INDIRECT(ADDRESS(D122+6,16,4,TRUE,"Car+SUV"))-P129</f>
        <v>2113.7039133097501</v>
      </c>
      <c r="Q127" s="54">
        <f ca="1">INDIRECT(ADDRESS(D122+6,17,4,TRUE,"Car+SUV"))-Q129</f>
        <v>1875.3548063808516</v>
      </c>
    </row>
    <row r="128" spans="3:17" ht="15.5" x14ac:dyDescent="0.35">
      <c r="C128" s="24" t="s">
        <v>114</v>
      </c>
      <c r="D128" s="55">
        <f ca="1">INDIRECT(ADDRESS(D122+6,4,4,TRUE,"Van+Ute"))-D130</f>
        <v>425.97627380850605</v>
      </c>
      <c r="E128" s="56">
        <f ca="1">INDIRECT(ADDRESS(D122+6,5,4,TRUE,"Van+Ute"))-E130</f>
        <v>448.19995647975998</v>
      </c>
      <c r="F128" s="56">
        <f ca="1">INDIRECT(ADDRESS(D122+6,6,4,TRUE,"Van+Ute"))-F130</f>
        <v>494.09690572769551</v>
      </c>
      <c r="G128" s="56">
        <f ca="1">INDIRECT(ADDRESS($D122+6,7,4,TRUE,"Van+Ute"))-G130</f>
        <v>495.3209966347402</v>
      </c>
      <c r="H128" s="56">
        <f ca="1">INDIRECT(ADDRESS($D122+6,8,4,TRUE,"Van+Ute"))-H130</f>
        <v>508.95199551590406</v>
      </c>
      <c r="I128" s="56">
        <f ca="1">INDIRECT(ADDRESS(D122+6,9,4,TRUE,"Van+Ute"))-I130</f>
        <v>562.8918832306075</v>
      </c>
      <c r="J128" s="56">
        <f ca="1">INDIRECT(ADDRESS(D122+6,10,4,TRUE,"Van+Ute"))-J130</f>
        <v>621.80816693007409</v>
      </c>
      <c r="K128" s="56">
        <f ca="1">INDIRECT(ADDRESS(D122+6,11,4,TRUE,"Van+Ute"))-K130</f>
        <v>647.37963609594408</v>
      </c>
      <c r="L128" s="56">
        <f ca="1">INDIRECT(ADDRESS(D122+6,12,4,TRUE,"Van+Ute"))-L130</f>
        <v>669.8758900155276</v>
      </c>
      <c r="M128" s="56">
        <f ca="1">INDIRECT(ADDRESS(D122+6,13,4,TRUE,"Van+Ute"))-M130</f>
        <v>690.72780042413069</v>
      </c>
      <c r="N128" s="56">
        <f ca="1">INDIRECT(ADDRESS(D122+6,14,4,TRUE,"Van+Ute"))-N130</f>
        <v>713.67584003640445</v>
      </c>
      <c r="O128" s="56">
        <f ca="1">INDIRECT(ADDRESS(D122+6,15,4,TRUE,"Van+Ute"))-O130</f>
        <v>738.64426312472347</v>
      </c>
      <c r="P128" s="56">
        <f ca="1">INDIRECT(ADDRESS(D122+6,16,4,TRUE,"Van+Ute"))-P130</f>
        <v>762.28964466911725</v>
      </c>
      <c r="Q128" s="57">
        <f ca="1">INDIRECT(ADDRESS(D122+6,17,4,TRUE,"Van+Ute"))-Q130</f>
        <v>782.86420737345895</v>
      </c>
    </row>
    <row r="129" spans="3:17" ht="15.5" x14ac:dyDescent="0.35">
      <c r="C129" s="24" t="s">
        <v>115</v>
      </c>
      <c r="D129" s="55">
        <f ca="1">INDIRECT(ADDRESS(D122+130,4,4,TRUE,"Car+SUV"))</f>
        <v>46.73105519553264</v>
      </c>
      <c r="E129" s="56">
        <f ca="1">INDIRECT(ADDRESS(D122+130,5,4,TRUE,"Car+SUV"))</f>
        <v>47.695912235624945</v>
      </c>
      <c r="F129" s="56">
        <f ca="1">INDIRECT(ADDRESS(D122+130,6,4,TRUE,"Car+SUV"))</f>
        <v>50.031835643936702</v>
      </c>
      <c r="G129" s="56">
        <f ca="1">INDIRECT(ADDRESS($D122+130,7,4,TRUE,"Car+SUV"))</f>
        <v>50.754784031948986</v>
      </c>
      <c r="H129" s="56">
        <f ca="1">INDIRECT(ADDRESS($D122+130,8,4,TRUE,"Car+SUV"))</f>
        <v>51.424565979716277</v>
      </c>
      <c r="I129" s="56">
        <f ca="1">INDIRECT(ADDRESS(D122+130,9,4,TRUE,"Car+SUV"))</f>
        <v>74.122642398713396</v>
      </c>
      <c r="J129" s="56">
        <f ca="1">INDIRECT(ADDRESS(D122+130,10,4,TRUE,"Car+SUV"))</f>
        <v>87.399798303283063</v>
      </c>
      <c r="K129" s="56">
        <f ca="1">INDIRECT(ADDRESS(D122+130,11,4,TRUE,"Car+SUV"))</f>
        <v>382.45400750279066</v>
      </c>
      <c r="L129" s="56">
        <f ca="1">INDIRECT(ADDRESS(D122+130,12,4,TRUE,"Car+SUV"))</f>
        <v>700.49274766976851</v>
      </c>
      <c r="M129" s="56">
        <f ca="1">INDIRECT(ADDRESS(D122+130,13,4,TRUE,"Car+SUV"))</f>
        <v>1032.2046626831609</v>
      </c>
      <c r="N129" s="56">
        <f ca="1">INDIRECT(ADDRESS(D122+130,14,4,TRUE,"Car+SUV"))</f>
        <v>1376.2067120458184</v>
      </c>
      <c r="O129" s="56">
        <f ca="1">INDIRECT(ADDRESS(D122+130,15,4,TRUE,"Car+SUV"))</f>
        <v>1731.4958999208886</v>
      </c>
      <c r="P129" s="56">
        <f ca="1">INDIRECT(ADDRESS(D122+130,16,4,TRUE,"Car+SUV"))</f>
        <v>2095.9987714835711</v>
      </c>
      <c r="Q129" s="57">
        <f ca="1">INDIRECT(ADDRESS(D122+130,17,4,TRUE,"Car+SUV"))</f>
        <v>2469.3864647945779</v>
      </c>
    </row>
    <row r="130" spans="3:17" ht="15.5" x14ac:dyDescent="0.35">
      <c r="C130" s="24" t="s">
        <v>116</v>
      </c>
      <c r="D130" s="55">
        <f ca="1">INDIRECT(ADDRESS(D122+130,4,4,TRUE,"Van+Ute"))</f>
        <v>5.4098485066248028</v>
      </c>
      <c r="E130" s="56">
        <f ca="1">INDIRECT(ADDRESS(D122+130,5,4,TRUE,"Van+Ute"))</f>
        <v>5.4074270602940286</v>
      </c>
      <c r="F130" s="56">
        <f ca="1">INDIRECT(ADDRESS(D122+130,6,4,TRUE,"Van+Ute"))</f>
        <v>5.6698621525705484</v>
      </c>
      <c r="G130" s="56">
        <f ca="1">INDIRECT(ADDRESS($D122+130,7,4,TRUE,"Van+Ute"))</f>
        <v>4.6810265844742505</v>
      </c>
      <c r="H130" s="56">
        <f ca="1">INDIRECT(ADDRESS($D122+130,8,4,TRUE,"Van+Ute"))</f>
        <v>5.3128824433484922</v>
      </c>
      <c r="I130" s="56">
        <f ca="1">INDIRECT(ADDRESS(D122+130,9,4,TRUE,"Van+Ute"))</f>
        <v>5.9122053524873657</v>
      </c>
      <c r="J130" s="56">
        <f ca="1">INDIRECT(ADDRESS(D122+130,10,4,TRUE,"Van+Ute"))</f>
        <v>6.9712241578688721</v>
      </c>
      <c r="K130" s="56">
        <f ca="1">INDIRECT(ADDRESS(D122+130,11,4,TRUE,"Van+Ute"))</f>
        <v>37.125570013685142</v>
      </c>
      <c r="L130" s="56">
        <f ca="1">INDIRECT(ADDRESS(D122+130,12,4,TRUE,"Van+Ute"))</f>
        <v>69.656501971894954</v>
      </c>
      <c r="M130" s="56">
        <f ca="1">INDIRECT(ADDRESS(D122+130,13,4,TRUE,"Van+Ute"))</f>
        <v>103.59318307018788</v>
      </c>
      <c r="N130" s="56">
        <f ca="1">INDIRECT(ADDRESS(D122+130,14,4,TRUE,"Van+Ute"))</f>
        <v>138.76877412141744</v>
      </c>
      <c r="O130" s="56">
        <f ca="1">INDIRECT(ADDRESS(D122+130,15,4,TRUE,"Van+Ute"))</f>
        <v>175.12418862927012</v>
      </c>
      <c r="P130" s="56">
        <f ca="1">INDIRECT(ADDRESS(D122+130,16,4,TRUE,"Van+Ute"))</f>
        <v>212.40017146013309</v>
      </c>
      <c r="Q130" s="57">
        <f ca="1">INDIRECT(ADDRESS(D122+130,17,4,TRUE,"Van+Ute"))</f>
        <v>250.55889694281279</v>
      </c>
    </row>
    <row r="131" spans="3:17" ht="15.5" x14ac:dyDescent="0.35">
      <c r="C131" s="24" t="s">
        <v>43</v>
      </c>
      <c r="D131" s="55">
        <f ca="1">INDIRECT(ADDRESS(D122+6,4,4,TRUE,"Heavy Truck"))</f>
        <v>129.41036193266035</v>
      </c>
      <c r="E131" s="56">
        <f ca="1">INDIRECT(ADDRESS(D122+6,5,4,TRUE,"Heavy Truck"))</f>
        <v>133.77417405686103</v>
      </c>
      <c r="F131" s="56">
        <f ca="1">INDIRECT(ADDRESS(D122+6,6,4,TRUE,"Heavy Truck"))</f>
        <v>146.71155515151918</v>
      </c>
      <c r="G131" s="56">
        <f ca="1">INDIRECT(ADDRESS($D122+6,7,4,TRUE,"Heavy Truck"))</f>
        <v>144.43275007217164</v>
      </c>
      <c r="H131" s="56">
        <f ca="1">INDIRECT(ADDRESS($D122+6,8,4,TRUE,"Heavy Truck"))</f>
        <v>145.99577978492675</v>
      </c>
      <c r="I131" s="56">
        <f ca="1">INDIRECT(ADDRESS(D122+6,9,4,TRUE,"Heavy Truck"))</f>
        <v>168.49557106203835</v>
      </c>
      <c r="J131" s="56">
        <f ca="1">INDIRECT(ADDRESS(D122+6,10,4,TRUE,"Heavy Truck"))</f>
        <v>185.46678997523532</v>
      </c>
      <c r="K131" s="56">
        <f ca="1">INDIRECT(ADDRESS(D122+6,11,4,TRUE,"Heavy Truck"))</f>
        <v>191.93413843377559</v>
      </c>
      <c r="L131" s="56">
        <f ca="1">INDIRECT(ADDRESS(D122+6,12,4,TRUE,"Heavy Truck"))</f>
        <v>197.97040905986478</v>
      </c>
      <c r="M131" s="56">
        <f ca="1">INDIRECT(ADDRESS(D122+6,13,4,TRUE,"Heavy Truck"))</f>
        <v>200.35495861830452</v>
      </c>
      <c r="N131" s="56">
        <f ca="1">INDIRECT(ADDRESS(D122+6,14,4,TRUE,"Heavy Truck"))</f>
        <v>202.50195881549291</v>
      </c>
      <c r="O131" s="56">
        <f ca="1">INDIRECT(ADDRESS(D122+6,15,4,TRUE,"Heavy Truck"))</f>
        <v>203.60402579784449</v>
      </c>
      <c r="P131" s="56">
        <f ca="1">INDIRECT(ADDRESS(D122+6,16,4,TRUE,"Heavy Truck"))</f>
        <v>204.52896794021996</v>
      </c>
      <c r="Q131" s="57">
        <f ca="1">INDIRECT(ADDRESS(D122+6,17,4,TRUE,"Heavy Truck"))</f>
        <v>205.28484165725587</v>
      </c>
    </row>
    <row r="132" spans="3:17" ht="15.5" x14ac:dyDescent="0.35">
      <c r="C132" s="24" t="s">
        <v>44</v>
      </c>
      <c r="D132" s="55">
        <f ca="1">INDIRECT(ADDRESS(D122+6,4,4,TRUE,"Heavy Bus"))</f>
        <v>21.491110847137517</v>
      </c>
      <c r="E132" s="56">
        <f ca="1">INDIRECT(ADDRESS(D122+6,5,4,TRUE,"Heavy Bus"))</f>
        <v>20.660378629673406</v>
      </c>
      <c r="F132" s="56">
        <f ca="1">INDIRECT(ADDRESS(D122+6,6,4,TRUE,"Heavy Bus"))</f>
        <v>22.689049401236158</v>
      </c>
      <c r="G132" s="56">
        <f ca="1">INDIRECT(ADDRESS($D122+6,7,4,TRUE,"Heavy Bus"))</f>
        <v>20.645371917390143</v>
      </c>
      <c r="H132" s="56">
        <f ca="1">INDIRECT(ADDRESS($D122+6,8,4,TRUE,"Heavy Bus"))</f>
        <v>20.026365851035507</v>
      </c>
      <c r="I132" s="56">
        <f ca="1">INDIRECT(ADDRESS(D122+6,9,4,TRUE,"Heavy Bus"))</f>
        <v>22.176166107367976</v>
      </c>
      <c r="J132" s="56">
        <f ca="1">INDIRECT(ADDRESS(D122+6,10,4,TRUE,"Heavy Bus"))</f>
        <v>25.958872082680497</v>
      </c>
      <c r="K132" s="56">
        <f ca="1">INDIRECT(ADDRESS(D122+6,11,4,TRUE,"Heavy Bus"))</f>
        <v>28.875504620328925</v>
      </c>
      <c r="L132" s="56">
        <f ca="1">INDIRECT(ADDRESS(D122+6,12,4,TRUE,"Heavy Bus"))</f>
        <v>30.93119566903755</v>
      </c>
      <c r="M132" s="56">
        <f ca="1">INDIRECT(ADDRESS(D122+6,13,4,TRUE,"Heavy Bus"))</f>
        <v>33.229608869552251</v>
      </c>
      <c r="N132" s="56">
        <f ca="1">INDIRECT(ADDRESS(D122+6,14,4,TRUE,"Heavy Bus"))</f>
        <v>35.79176664715046</v>
      </c>
      <c r="O132" s="56">
        <f ca="1">INDIRECT(ADDRESS(D122+6,15,4,TRUE,"Heavy Bus"))</f>
        <v>38.927335899889236</v>
      </c>
      <c r="P132" s="56">
        <f ca="1">INDIRECT(ADDRESS(D122+6,16,4,TRUE,"Heavy Bus"))</f>
        <v>42.460492245830906</v>
      </c>
      <c r="Q132" s="57">
        <f ca="1">INDIRECT(ADDRESS(D122+6,17,4,TRUE,"Heavy Bus"))</f>
        <v>46.452089051519451</v>
      </c>
    </row>
    <row r="133" spans="3:17" ht="16" thickBot="1" x14ac:dyDescent="0.4">
      <c r="C133" s="24" t="s">
        <v>42</v>
      </c>
      <c r="D133" s="55">
        <f ca="1">INDIRECT(ADDRESS(D122+6,4,4,TRUE,"Motorcycle"))</f>
        <v>43.463206269811508</v>
      </c>
      <c r="E133" s="56">
        <f ca="1">INDIRECT(ADDRESS(D122+6,5,4,TRUE,"Motorcycle"))</f>
        <v>44.104188811135614</v>
      </c>
      <c r="F133" s="56">
        <f ca="1">INDIRECT(ADDRESS(D122+6,6,4,TRUE,"Motorcycle"))</f>
        <v>46.803830474764027</v>
      </c>
      <c r="G133" s="56">
        <f ca="1">INDIRECT(ADDRESS($D122+6,7,4,TRUE,"Motorcycle"))</f>
        <v>46.039760747989206</v>
      </c>
      <c r="H133" s="56">
        <f ca="1">INDIRECT(ADDRESS($D122+6,8,4,TRUE,"Motorcycle"))</f>
        <v>44.380055634303879</v>
      </c>
      <c r="I133" s="56">
        <f ca="1">INDIRECT(ADDRESS(D122+6,9,4,TRUE,"Motorcycle"))</f>
        <v>45.231337266552593</v>
      </c>
      <c r="J133" s="56">
        <f ca="1">INDIRECT(ADDRESS(D122+6,10,4,TRUE,"Motorcycle"))</f>
        <v>47.775530074107017</v>
      </c>
      <c r="K133" s="56">
        <f ca="1">INDIRECT(ADDRESS(D122+6,11,4,TRUE,"Motorcycle"))</f>
        <v>49.291601855773443</v>
      </c>
      <c r="L133" s="56">
        <f ca="1">INDIRECT(ADDRESS(D122+6,12,4,TRUE,"Motorcycle"))</f>
        <v>50.263586942308734</v>
      </c>
      <c r="M133" s="56">
        <f ca="1">INDIRECT(ADDRESS(D122+6,13,4,TRUE,"Motorcycle"))</f>
        <v>50.281022940011361</v>
      </c>
      <c r="N133" s="56">
        <f ca="1">INDIRECT(ADDRESS(D122+6,14,4,TRUE,"Motorcycle"))</f>
        <v>50.011112720601353</v>
      </c>
      <c r="O133" s="56">
        <f ca="1">INDIRECT(ADDRESS(D122+6,15,4,TRUE,"Motorcycle"))</f>
        <v>51.439387033275253</v>
      </c>
      <c r="P133" s="56">
        <f ca="1">INDIRECT(ADDRESS(D122+6,16,4,TRUE,"Motorcycle"))</f>
        <v>52.754746098216955</v>
      </c>
      <c r="Q133" s="57">
        <f ca="1">INDIRECT(ADDRESS(D122+6,17,4,TRUE,"Motorcycle"))</f>
        <v>54.002693182902185</v>
      </c>
    </row>
    <row r="134" spans="3:17" ht="16.5" thickTop="1" thickBot="1" x14ac:dyDescent="0.4">
      <c r="C134" s="31" t="s">
        <v>45</v>
      </c>
      <c r="D134" s="61">
        <f ca="1">SUM(D127:D133)</f>
        <v>3386.8998872603679</v>
      </c>
      <c r="E134" s="62">
        <f t="shared" ref="E134:Q134" ca="1" si="13">SUM(E127:E133)</f>
        <v>3460.6441942347942</v>
      </c>
      <c r="F134" s="62">
        <f t="shared" ca="1" si="13"/>
        <v>3722.2965907880189</v>
      </c>
      <c r="G134" s="62">
        <f t="shared" ca="1" si="13"/>
        <v>3644.9611145200865</v>
      </c>
      <c r="H134" s="62">
        <f t="shared" ca="1" si="13"/>
        <v>3639.8929161054239</v>
      </c>
      <c r="I134" s="62">
        <f t="shared" ca="1" si="13"/>
        <v>3832.4380130716986</v>
      </c>
      <c r="J134" s="62">
        <f t="shared" ca="1" si="13"/>
        <v>4127.1841535723825</v>
      </c>
      <c r="K134" s="62">
        <f t="shared" ca="1" si="13"/>
        <v>4388.4058348994304</v>
      </c>
      <c r="L134" s="62">
        <f t="shared" ca="1" si="13"/>
        <v>4635.6137865057872</v>
      </c>
      <c r="M134" s="62">
        <f t="shared" ca="1" si="13"/>
        <v>4849.9707983161825</v>
      </c>
      <c r="N134" s="62">
        <f t="shared" ca="1" si="13"/>
        <v>5060.6246622444869</v>
      </c>
      <c r="O134" s="62">
        <f t="shared" ca="1" si="13"/>
        <v>5275.9513036011786</v>
      </c>
      <c r="P134" s="62">
        <f t="shared" ca="1" si="13"/>
        <v>5484.1367072068397</v>
      </c>
      <c r="Q134" s="63">
        <f t="shared" ca="1" si="13"/>
        <v>5683.9039993833794</v>
      </c>
    </row>
    <row r="135" spans="3:17" ht="13" thickTop="1" x14ac:dyDescent="0.25">
      <c r="L135"/>
      <c r="N135" s="121"/>
    </row>
    <row r="136" spans="3:17" ht="13" thickBot="1" x14ac:dyDescent="0.3">
      <c r="L136"/>
      <c r="N136" s="121"/>
    </row>
    <row r="137" spans="3:17" ht="16.5" thickTop="1" thickBot="1" x14ac:dyDescent="0.4">
      <c r="C137" s="180" t="str">
        <f ca="1">INDIRECT(ADDRESS(D137+6,3,4,TRUE,"Car+SUV"))</f>
        <v>TNM</v>
      </c>
      <c r="D137" s="182">
        <v>10</v>
      </c>
      <c r="E137" t="s">
        <v>170</v>
      </c>
      <c r="L137"/>
      <c r="N137" s="121"/>
    </row>
    <row r="138" spans="3:17" ht="13.5" thickTop="1" thickBot="1" x14ac:dyDescent="0.3">
      <c r="L138"/>
      <c r="N138" s="121"/>
    </row>
    <row r="139" spans="3:17" ht="16" thickTop="1" x14ac:dyDescent="0.35">
      <c r="C139" s="32" t="s">
        <v>47</v>
      </c>
      <c r="D139" s="33"/>
      <c r="E139" s="33"/>
      <c r="F139" s="33"/>
      <c r="G139" s="33"/>
      <c r="H139" s="33"/>
      <c r="I139" s="33"/>
      <c r="J139" s="34"/>
      <c r="K139" s="34"/>
      <c r="L139" s="34"/>
      <c r="M139" s="34"/>
      <c r="N139" s="34"/>
      <c r="O139" s="34"/>
      <c r="P139" s="34"/>
      <c r="Q139" s="35"/>
    </row>
    <row r="140" spans="3:17" ht="13.5" thickBot="1" x14ac:dyDescent="0.35">
      <c r="C140" s="36"/>
      <c r="D140" s="37" t="s">
        <v>25</v>
      </c>
      <c r="E140" s="37" t="s">
        <v>37</v>
      </c>
      <c r="F140" s="37" t="s">
        <v>38</v>
      </c>
      <c r="G140" s="37" t="s">
        <v>177</v>
      </c>
      <c r="H140" s="37" t="s">
        <v>178</v>
      </c>
      <c r="I140" s="37" t="s">
        <v>26</v>
      </c>
      <c r="J140" s="37" t="s">
        <v>27</v>
      </c>
      <c r="K140" s="37" t="s">
        <v>28</v>
      </c>
      <c r="L140" s="37" t="s">
        <v>29</v>
      </c>
      <c r="M140" s="37" t="s">
        <v>30</v>
      </c>
      <c r="N140" s="37" t="s">
        <v>31</v>
      </c>
      <c r="O140" s="37" t="s">
        <v>174</v>
      </c>
      <c r="P140" s="37" t="s">
        <v>175</v>
      </c>
      <c r="Q140" s="38" t="s">
        <v>176</v>
      </c>
    </row>
    <row r="141" spans="3:17" ht="14" thickTop="1" thickBot="1" x14ac:dyDescent="0.35">
      <c r="C141" s="70"/>
      <c r="D141" s="71" t="s">
        <v>39</v>
      </c>
      <c r="E141" s="65" t="s">
        <v>39</v>
      </c>
      <c r="F141" s="65" t="s">
        <v>39</v>
      </c>
      <c r="G141" s="65" t="s">
        <v>39</v>
      </c>
      <c r="H141" s="65" t="s">
        <v>39</v>
      </c>
      <c r="I141" s="65" t="s">
        <v>39</v>
      </c>
      <c r="J141" s="65" t="s">
        <v>32</v>
      </c>
      <c r="K141" s="65" t="s">
        <v>32</v>
      </c>
      <c r="L141" s="65" t="s">
        <v>32</v>
      </c>
      <c r="M141" s="65" t="s">
        <v>32</v>
      </c>
      <c r="N141" s="65" t="s">
        <v>32</v>
      </c>
      <c r="O141" s="65" t="s">
        <v>32</v>
      </c>
      <c r="P141" s="65" t="s">
        <v>32</v>
      </c>
      <c r="Q141" s="66" t="s">
        <v>32</v>
      </c>
    </row>
    <row r="142" spans="3:17" ht="16" thickTop="1" x14ac:dyDescent="0.35">
      <c r="C142" s="24" t="s">
        <v>113</v>
      </c>
      <c r="D142" s="55">
        <f ca="1">INDIRECT(ADDRESS(D137+6,4,4,TRUE,"Car+SUV"))-D144</f>
        <v>885.34055027951865</v>
      </c>
      <c r="E142" s="53">
        <f ca="1">INDIRECT(ADDRESS(D137+6,5,4,TRUE,"Car+SUV"))-E144</f>
        <v>898.03119338497288</v>
      </c>
      <c r="F142" s="53">
        <f ca="1">INDIRECT(ADDRESS(D137+6,6,4,TRUE,"Car+SUV"))-F144</f>
        <v>854.9796255902786</v>
      </c>
      <c r="G142" s="53">
        <f ca="1">INDIRECT(ADDRESS($D137+6,7,4,TRUE,"Car+SUV"))-G144</f>
        <v>1007.1080777960834</v>
      </c>
      <c r="H142" s="53">
        <f ca="1">INDIRECT(ADDRESS($D137+6,8,4,TRUE,"Car+SUV"))-H144</f>
        <v>1046.2580608856344</v>
      </c>
      <c r="I142" s="53">
        <f ca="1">INDIRECT(ADDRESS(D137+6,9,4,TRUE,"Car+SUV"))-I144</f>
        <v>1119.0784782000792</v>
      </c>
      <c r="J142" s="53">
        <f ca="1">INDIRECT(ADDRESS(D137+6,10,4,TRUE,"Car+SUV"))-J144</f>
        <v>1171.0511939685962</v>
      </c>
      <c r="K142" s="53">
        <f ca="1">INDIRECT(ADDRESS(D137+6,11,4,TRUE,"Car+SUV"))-K144</f>
        <v>1120.2057906821469</v>
      </c>
      <c r="L142" s="53">
        <f ca="1">INDIRECT(ADDRESS(D137+6,12,4,TRUE,"Car+SUV"))-L144</f>
        <v>1058.1501509409209</v>
      </c>
      <c r="M142" s="53">
        <f ca="1">INDIRECT(ADDRESS(D137+6,13,4,TRUE,"Car+SUV"))-M144</f>
        <v>983.94696374097396</v>
      </c>
      <c r="N142" s="53">
        <f ca="1">INDIRECT(ADDRESS(D137+6,14,4,TRUE,"Car+SUV"))-N144</f>
        <v>905.16156473621618</v>
      </c>
      <c r="O142" s="53">
        <f ca="1">INDIRECT(ADDRESS(D137+6,15,4,TRUE,"Car+SUV"))-O144</f>
        <v>825.7928506244441</v>
      </c>
      <c r="P142" s="53">
        <f ca="1">INDIRECT(ADDRESS(D137+6,16,4,TRUE,"Car+SUV"))-P144</f>
        <v>744.27869891982311</v>
      </c>
      <c r="Q142" s="54">
        <f ca="1">INDIRECT(ADDRESS(D137+6,17,4,TRUE,"Car+SUV"))-Q144</f>
        <v>660.80095780531542</v>
      </c>
    </row>
    <row r="143" spans="3:17" ht="15.5" x14ac:dyDescent="0.35">
      <c r="C143" s="24" t="s">
        <v>114</v>
      </c>
      <c r="D143" s="55">
        <f ca="1">INDIRECT(ADDRESS(D137+6,4,4,TRUE,"Van+Ute"))-D145</f>
        <v>256.03059839451191</v>
      </c>
      <c r="E143" s="56">
        <f ca="1">INDIRECT(ADDRESS(D137+6,5,4,TRUE,"Van+Ute"))-E145</f>
        <v>265.70393156521851</v>
      </c>
      <c r="F143" s="56">
        <f ca="1">INDIRECT(ADDRESS(D137+6,6,4,TRUE,"Van+Ute"))-F145</f>
        <v>261.43150383658553</v>
      </c>
      <c r="G143" s="56">
        <f ca="1">INDIRECT(ADDRESS($D137+6,7,4,TRUE,"Van+Ute"))-G145</f>
        <v>298.99360836302895</v>
      </c>
      <c r="H143" s="56">
        <f ca="1">INDIRECT(ADDRESS($D137+6,8,4,TRUE,"Van+Ute"))-H145</f>
        <v>313.74703497499507</v>
      </c>
      <c r="I143" s="56">
        <f ca="1">INDIRECT(ADDRESS(D137+6,9,4,TRUE,"Van+Ute"))-I145</f>
        <v>344.37446092806459</v>
      </c>
      <c r="J143" s="56">
        <f ca="1">INDIRECT(ADDRESS(D137+6,10,4,TRUE,"Van+Ute"))-J145</f>
        <v>369.36345799138064</v>
      </c>
      <c r="K143" s="56">
        <f ca="1">INDIRECT(ADDRESS(D137+6,11,4,TRUE,"Van+Ute"))-K145</f>
        <v>372.68641943174634</v>
      </c>
      <c r="L143" s="56">
        <f ca="1">INDIRECT(ADDRESS(D137+6,12,4,TRUE,"Van+Ute"))-L145</f>
        <v>373.35694338903613</v>
      </c>
      <c r="M143" s="56">
        <f ca="1">INDIRECT(ADDRESS(D137+6,13,4,TRUE,"Van+Ute"))-M145</f>
        <v>372.09189560563283</v>
      </c>
      <c r="N143" s="56">
        <f ca="1">INDIRECT(ADDRESS(D137+6,14,4,TRUE,"Van+Ute"))-N145</f>
        <v>370.68111289971318</v>
      </c>
      <c r="O143" s="56">
        <f ca="1">INDIRECT(ADDRESS(D137+6,15,4,TRUE,"Van+Ute"))-O145</f>
        <v>369.68004706217408</v>
      </c>
      <c r="P143" s="56">
        <f ca="1">INDIRECT(ADDRESS(D137+6,16,4,TRUE,"Van+Ute"))-P145</f>
        <v>367.56427528307142</v>
      </c>
      <c r="Q143" s="57">
        <f ca="1">INDIRECT(ADDRESS(D137+6,17,4,TRUE,"Van+Ute"))-Q145</f>
        <v>363.66081920536658</v>
      </c>
    </row>
    <row r="144" spans="3:17" ht="15.5" x14ac:dyDescent="0.35">
      <c r="C144" s="24" t="s">
        <v>115</v>
      </c>
      <c r="D144" s="55">
        <f ca="1">INDIRECT(ADDRESS(D137+130,4,4,TRUE,"Car+SUV"))</f>
        <v>4.2639144470841748</v>
      </c>
      <c r="E144" s="56">
        <f ca="1">INDIRECT(ADDRESS(D137+130,5,4,TRUE,"Car+SUV"))</f>
        <v>3.7661043874597167</v>
      </c>
      <c r="F144" s="56">
        <f ca="1">INDIRECT(ADDRESS(D137+130,6,4,TRUE,"Car+SUV"))</f>
        <v>3.0653566928419487</v>
      </c>
      <c r="G144" s="56">
        <f ca="1">INDIRECT(ADDRESS($D137+130,7,4,TRUE,"Car+SUV"))</f>
        <v>3.3904120010962453</v>
      </c>
      <c r="H144" s="56">
        <f ca="1">INDIRECT(ADDRESS($D137+130,8,4,TRUE,"Car+SUV"))</f>
        <v>4.4995744586774338</v>
      </c>
      <c r="I144" s="56">
        <f ca="1">INDIRECT(ADDRESS(D137+130,9,4,TRUE,"Car+SUV"))</f>
        <v>5.0806724138845087</v>
      </c>
      <c r="J144" s="56">
        <f ca="1">INDIRECT(ADDRESS(D137+130,10,4,TRUE,"Car+SUV"))</f>
        <v>5.8807415489358448</v>
      </c>
      <c r="K144" s="56">
        <f ca="1">INDIRECT(ADDRESS(D137+130,11,4,TRUE,"Car+SUV"))</f>
        <v>105.25361850569466</v>
      </c>
      <c r="L144" s="56">
        <f ca="1">INDIRECT(ADDRESS(D137+130,12,4,TRUE,"Car+SUV"))</f>
        <v>208.73149992739775</v>
      </c>
      <c r="M144" s="56">
        <f ca="1">INDIRECT(ADDRESS(D137+130,13,4,TRUE,"Car+SUV"))</f>
        <v>312.5987664366811</v>
      </c>
      <c r="N144" s="56">
        <f ca="1">INDIRECT(ADDRESS(D137+130,14,4,TRUE,"Car+SUV"))</f>
        <v>415.41602433198136</v>
      </c>
      <c r="O144" s="56">
        <f ca="1">INDIRECT(ADDRESS(D137+130,15,4,TRUE,"Car+SUV"))</f>
        <v>517.32327767951551</v>
      </c>
      <c r="P144" s="56">
        <f ca="1">INDIRECT(ADDRESS(D137+130,16,4,TRUE,"Car+SUV"))</f>
        <v>617.21341350159253</v>
      </c>
      <c r="Q144" s="57">
        <f ca="1">INDIRECT(ADDRESS(D137+130,17,4,TRUE,"Car+SUV"))</f>
        <v>714.90232033917846</v>
      </c>
    </row>
    <row r="145" spans="3:17" ht="15.5" x14ac:dyDescent="0.35">
      <c r="C145" s="24" t="s">
        <v>116</v>
      </c>
      <c r="D145" s="55">
        <f ca="1">INDIRECT(ADDRESS(D137+130,4,4,TRUE,"Van+Ute"))</f>
        <v>2.2648937460723992</v>
      </c>
      <c r="E145" s="56">
        <f ca="1">INDIRECT(ADDRESS(D137+130,5,4,TRUE,"Van+Ute"))</f>
        <v>2.3638065775581509</v>
      </c>
      <c r="F145" s="56">
        <f ca="1">INDIRECT(ADDRESS(D137+130,6,4,TRUE,"Van+Ute"))</f>
        <v>2.2470574761273259</v>
      </c>
      <c r="G145" s="56">
        <f ca="1">INDIRECT(ADDRESS($D137+130,7,4,TRUE,"Van+Ute"))</f>
        <v>2.6859995346010592</v>
      </c>
      <c r="H145" s="56">
        <f ca="1">INDIRECT(ADDRESS($D137+130,8,4,TRUE,"Van+Ute"))</f>
        <v>2.7721070575112203</v>
      </c>
      <c r="I145" s="56">
        <f ca="1">INDIRECT(ADDRESS(D137+130,9,4,TRUE,"Van+Ute"))</f>
        <v>2.7913622971184244</v>
      </c>
      <c r="J145" s="56">
        <f ca="1">INDIRECT(ADDRESS(D137+130,10,4,TRUE,"Van+Ute"))</f>
        <v>3.2309267163018602</v>
      </c>
      <c r="K145" s="56">
        <f ca="1">INDIRECT(ADDRESS(D137+130,11,4,TRUE,"Van+Ute"))</f>
        <v>23.201863322580444</v>
      </c>
      <c r="L145" s="56">
        <f ca="1">INDIRECT(ADDRESS(D137+130,12,4,TRUE,"Van+Ute"))</f>
        <v>43.97638140519085</v>
      </c>
      <c r="M145" s="56">
        <f ca="1">INDIRECT(ADDRESS(D137+130,13,4,TRUE,"Van+Ute"))</f>
        <v>64.828427101987316</v>
      </c>
      <c r="N145" s="56">
        <f ca="1">INDIRECT(ADDRESS(D137+130,14,4,TRUE,"Van+Ute"))</f>
        <v>85.493585417854149</v>
      </c>
      <c r="O145" s="56">
        <f ca="1">INDIRECT(ADDRESS(D137+130,15,4,TRUE,"Van+Ute"))</f>
        <v>105.96350135560475</v>
      </c>
      <c r="P145" s="56">
        <f ca="1">INDIRECT(ADDRESS(D137+130,16,4,TRUE,"Van+Ute"))</f>
        <v>126.06052080086481</v>
      </c>
      <c r="Q145" s="57">
        <f ca="1">INDIRECT(ADDRESS(D137+130,17,4,TRUE,"Van+Ute"))</f>
        <v>145.75251472683968</v>
      </c>
    </row>
    <row r="146" spans="3:17" ht="15.5" x14ac:dyDescent="0.35">
      <c r="C146" s="24" t="s">
        <v>43</v>
      </c>
      <c r="D146" s="55">
        <f ca="1">INDIRECT(ADDRESS(D137+6,4,4,TRUE,"Heavy Truck"))</f>
        <v>97.700150458941565</v>
      </c>
      <c r="E146" s="56">
        <f ca="1">INDIRECT(ADDRESS(D137+6,5,4,TRUE,"Heavy Truck"))</f>
        <v>101.2492551025969</v>
      </c>
      <c r="F146" s="56">
        <f ca="1">INDIRECT(ADDRESS(D137+6,6,4,TRUE,"Heavy Truck"))</f>
        <v>94.411223487199464</v>
      </c>
      <c r="G146" s="56">
        <f ca="1">INDIRECT(ADDRESS($D137+6,7,4,TRUE,"Heavy Truck"))</f>
        <v>102.53476450188491</v>
      </c>
      <c r="H146" s="56">
        <f ca="1">INDIRECT(ADDRESS($D137+6,8,4,TRUE,"Heavy Truck"))</f>
        <v>107.78043224530198</v>
      </c>
      <c r="I146" s="56">
        <f ca="1">INDIRECT(ADDRESS(D137+6,9,4,TRUE,"Heavy Truck"))</f>
        <v>106.80888803286599</v>
      </c>
      <c r="J146" s="56">
        <f ca="1">INDIRECT(ADDRESS(D137+6,10,4,TRUE,"Heavy Truck"))</f>
        <v>114.76812636856013</v>
      </c>
      <c r="K146" s="56">
        <f ca="1">INDIRECT(ADDRESS(D137+6,11,4,TRUE,"Heavy Truck"))</f>
        <v>118.99001126446272</v>
      </c>
      <c r="L146" s="56">
        <f ca="1">INDIRECT(ADDRESS(D137+6,12,4,TRUE,"Heavy Truck"))</f>
        <v>122.93431295197243</v>
      </c>
      <c r="M146" s="56">
        <f ca="1">INDIRECT(ADDRESS(D137+6,13,4,TRUE,"Heavy Truck"))</f>
        <v>121.26400678846633</v>
      </c>
      <c r="N146" s="56">
        <f ca="1">INDIRECT(ADDRESS(D137+6,14,4,TRUE,"Heavy Truck"))</f>
        <v>119.60140523069107</v>
      </c>
      <c r="O146" s="56">
        <f ca="1">INDIRECT(ADDRESS(D137+6,15,4,TRUE,"Heavy Truck"))</f>
        <v>119.4733931321865</v>
      </c>
      <c r="P146" s="56">
        <f ca="1">INDIRECT(ADDRESS(D137+6,16,4,TRUE,"Heavy Truck"))</f>
        <v>119.27913605046345</v>
      </c>
      <c r="Q146" s="57">
        <f ca="1">INDIRECT(ADDRESS(D137+6,17,4,TRUE,"Heavy Truck"))</f>
        <v>119.02197477749239</v>
      </c>
    </row>
    <row r="147" spans="3:17" ht="15.5" x14ac:dyDescent="0.35">
      <c r="C147" s="24" t="s">
        <v>44</v>
      </c>
      <c r="D147" s="55">
        <f ca="1">INDIRECT(ADDRESS(D137+6,4,4,TRUE,"Heavy Bus"))</f>
        <v>5.9713503082580308</v>
      </c>
      <c r="E147" s="56">
        <f ca="1">INDIRECT(ADDRESS(D137+6,5,4,TRUE,"Heavy Bus"))</f>
        <v>6.5118389653351718</v>
      </c>
      <c r="F147" s="56">
        <f ca="1">INDIRECT(ADDRESS(D137+6,6,4,TRUE,"Heavy Bus"))</f>
        <v>6.4734157441534528</v>
      </c>
      <c r="G147" s="56">
        <f ca="1">INDIRECT(ADDRESS($D137+6,7,4,TRUE,"Heavy Bus"))</f>
        <v>6.9079231858956813</v>
      </c>
      <c r="H147" s="56">
        <f ca="1">INDIRECT(ADDRESS($D137+6,8,4,TRUE,"Heavy Bus"))</f>
        <v>6.7725013683992685</v>
      </c>
      <c r="I147" s="56">
        <f ca="1">INDIRECT(ADDRESS(D137+6,9,4,TRUE,"Heavy Bus"))</f>
        <v>7.1968530543176366</v>
      </c>
      <c r="J147" s="56">
        <f ca="1">INDIRECT(ADDRESS(D137+6,10,4,TRUE,"Heavy Bus"))</f>
        <v>8.3246953264381691</v>
      </c>
      <c r="K147" s="56">
        <f ca="1">INDIRECT(ADDRESS(D137+6,11,4,TRUE,"Heavy Bus"))</f>
        <v>9.3080367995010924</v>
      </c>
      <c r="L147" s="56">
        <f ca="1">INDIRECT(ADDRESS(D137+6,12,4,TRUE,"Heavy Bus"))</f>
        <v>10.252806220625647</v>
      </c>
      <c r="M147" s="56">
        <f ca="1">INDIRECT(ADDRESS(D137+6,13,4,TRUE,"Heavy Bus"))</f>
        <v>11.391017396245411</v>
      </c>
      <c r="N147" s="56">
        <f ca="1">INDIRECT(ADDRESS(D137+6,14,4,TRUE,"Heavy Bus"))</f>
        <v>12.712188816978765</v>
      </c>
      <c r="O147" s="56">
        <f ca="1">INDIRECT(ADDRESS(D137+6,15,4,TRUE,"Heavy Bus"))</f>
        <v>14.352068498473004</v>
      </c>
      <c r="P147" s="56">
        <f ca="1">INDIRECT(ADDRESS(D137+6,16,4,TRUE,"Heavy Bus"))</f>
        <v>16.2455168355891</v>
      </c>
      <c r="Q147" s="57">
        <f ca="1">INDIRECT(ADDRESS(D137+6,17,4,TRUE,"Heavy Bus"))</f>
        <v>18.436694113916836</v>
      </c>
    </row>
    <row r="148" spans="3:17" ht="16" thickBot="1" x14ac:dyDescent="0.4">
      <c r="C148" s="24" t="s">
        <v>42</v>
      </c>
      <c r="D148" s="55">
        <f ca="1">INDIRECT(ADDRESS(D137+6,4,4,TRUE,"Motorcycle"))</f>
        <v>18.906650307937248</v>
      </c>
      <c r="E148" s="56">
        <f ca="1">INDIRECT(ADDRESS(D137+6,5,4,TRUE,"Motorcycle"))</f>
        <v>18.084782368895013</v>
      </c>
      <c r="F148" s="56">
        <f ca="1">INDIRECT(ADDRESS(D137+6,6,4,TRUE,"Motorcycle"))</f>
        <v>17.174473811878244</v>
      </c>
      <c r="G148" s="56">
        <f ca="1">INDIRECT(ADDRESS($D137+6,7,4,TRUE,"Motorcycle"))</f>
        <v>19.550282180920426</v>
      </c>
      <c r="H148" s="56">
        <f ca="1">INDIRECT(ADDRESS($D137+6,8,4,TRUE,"Motorcycle"))</f>
        <v>19.546073851503056</v>
      </c>
      <c r="I148" s="56">
        <f ca="1">INDIRECT(ADDRESS(D137+6,9,4,TRUE,"Motorcycle"))</f>
        <v>19.807466303638993</v>
      </c>
      <c r="J148" s="56">
        <f ca="1">INDIRECT(ADDRESS(D137+6,10,4,TRUE,"Motorcycle"))</f>
        <v>20.393643414495013</v>
      </c>
      <c r="K148" s="56">
        <f ca="1">INDIRECT(ADDRESS(D137+6,11,4,TRUE,"Motorcycle"))</f>
        <v>20.605496887288123</v>
      </c>
      <c r="L148" s="56">
        <f ca="1">INDIRECT(ADDRESS(D137+6,12,4,TRUE,"Motorcycle"))</f>
        <v>20.573757828209235</v>
      </c>
      <c r="M148" s="56">
        <f ca="1">INDIRECT(ADDRESS(D137+6,13,4,TRUE,"Motorcycle"))</f>
        <v>20.142719281379229</v>
      </c>
      <c r="N148" s="56">
        <f ca="1">INDIRECT(ADDRESS(D137+6,14,4,TRUE,"Motorcycle"))</f>
        <v>19.576066860173942</v>
      </c>
      <c r="O148" s="56">
        <f ca="1">INDIRECT(ADDRESS(D137+6,15,4,TRUE,"Motorcycle"))</f>
        <v>19.670707545003786</v>
      </c>
      <c r="P148" s="56">
        <f ca="1">INDIRECT(ADDRESS(D137+6,16,4,TRUE,"Motorcycle"))</f>
        <v>19.704647220590768</v>
      </c>
      <c r="Q148" s="57">
        <f ca="1">INDIRECT(ADDRESS(D137+6,17,4,TRUE,"Motorcycle"))</f>
        <v>19.697927895949498</v>
      </c>
    </row>
    <row r="149" spans="3:17" ht="16.5" thickTop="1" thickBot="1" x14ac:dyDescent="0.4">
      <c r="C149" s="31" t="s">
        <v>45</v>
      </c>
      <c r="D149" s="61">
        <f ca="1">SUM(D142:D148)</f>
        <v>1270.478107942324</v>
      </c>
      <c r="E149" s="62">
        <f t="shared" ref="E149:Q149" ca="1" si="14">SUM(E142:E148)</f>
        <v>1295.7109123520363</v>
      </c>
      <c r="F149" s="62">
        <f t="shared" ca="1" si="14"/>
        <v>1239.7826566390647</v>
      </c>
      <c r="G149" s="62">
        <f t="shared" ca="1" si="14"/>
        <v>1441.1710675635106</v>
      </c>
      <c r="H149" s="62">
        <f t="shared" ca="1" si="14"/>
        <v>1501.3757848420223</v>
      </c>
      <c r="I149" s="62">
        <f t="shared" ca="1" si="14"/>
        <v>1605.1381812299694</v>
      </c>
      <c r="J149" s="62">
        <f t="shared" ca="1" si="14"/>
        <v>1693.0127853347078</v>
      </c>
      <c r="K149" s="62">
        <f t="shared" ca="1" si="14"/>
        <v>1770.2512368934204</v>
      </c>
      <c r="L149" s="62">
        <f t="shared" ca="1" si="14"/>
        <v>1837.9758526633527</v>
      </c>
      <c r="M149" s="62">
        <f t="shared" ca="1" si="14"/>
        <v>1886.2637963513662</v>
      </c>
      <c r="N149" s="62">
        <f t="shared" ca="1" si="14"/>
        <v>1928.6419482936087</v>
      </c>
      <c r="O149" s="62">
        <f t="shared" ca="1" si="14"/>
        <v>1972.2558458974015</v>
      </c>
      <c r="P149" s="62">
        <f t="shared" ca="1" si="14"/>
        <v>2010.3462086119951</v>
      </c>
      <c r="Q149" s="63">
        <f t="shared" ca="1" si="14"/>
        <v>2042.2732088640591</v>
      </c>
    </row>
    <row r="150" spans="3:17" ht="13" thickTop="1" x14ac:dyDescent="0.25">
      <c r="L150"/>
      <c r="N150" s="121"/>
    </row>
    <row r="151" spans="3:17" ht="13" thickBot="1" x14ac:dyDescent="0.3">
      <c r="L151"/>
      <c r="N151" s="121"/>
    </row>
    <row r="152" spans="3:17" ht="16.5" thickTop="1" thickBot="1" x14ac:dyDescent="0.4">
      <c r="C152" s="180" t="str">
        <f ca="1">INDIRECT(ADDRESS(D152+6,3,4,TRUE,"Car+SUV"))</f>
        <v>West Coast</v>
      </c>
      <c r="D152" s="182">
        <v>11</v>
      </c>
      <c r="E152" t="s">
        <v>170</v>
      </c>
      <c r="L152"/>
      <c r="N152" s="121"/>
    </row>
    <row r="153" spans="3:17" ht="13.5" thickTop="1" thickBot="1" x14ac:dyDescent="0.3">
      <c r="L153"/>
      <c r="N153" s="121"/>
    </row>
    <row r="154" spans="3:17" ht="16" thickTop="1" x14ac:dyDescent="0.35">
      <c r="C154" s="32" t="s">
        <v>47</v>
      </c>
      <c r="D154" s="33"/>
      <c r="E154" s="33"/>
      <c r="F154" s="33"/>
      <c r="G154" s="33"/>
      <c r="H154" s="33"/>
      <c r="I154" s="33"/>
      <c r="J154" s="34"/>
      <c r="K154" s="34"/>
      <c r="L154" s="34"/>
      <c r="M154" s="34"/>
      <c r="N154" s="34"/>
      <c r="O154" s="34"/>
      <c r="P154" s="34"/>
      <c r="Q154" s="35"/>
    </row>
    <row r="155" spans="3:17" ht="13.5" thickBot="1" x14ac:dyDescent="0.35">
      <c r="C155" s="36"/>
      <c r="D155" s="37" t="s">
        <v>25</v>
      </c>
      <c r="E155" s="37" t="s">
        <v>37</v>
      </c>
      <c r="F155" s="37" t="s">
        <v>38</v>
      </c>
      <c r="G155" s="37" t="s">
        <v>177</v>
      </c>
      <c r="H155" s="37" t="s">
        <v>178</v>
      </c>
      <c r="I155" s="37" t="s">
        <v>26</v>
      </c>
      <c r="J155" s="37" t="s">
        <v>27</v>
      </c>
      <c r="K155" s="37" t="s">
        <v>28</v>
      </c>
      <c r="L155" s="37" t="s">
        <v>29</v>
      </c>
      <c r="M155" s="37" t="s">
        <v>30</v>
      </c>
      <c r="N155" s="37" t="s">
        <v>31</v>
      </c>
      <c r="O155" s="37" t="s">
        <v>174</v>
      </c>
      <c r="P155" s="37" t="s">
        <v>175</v>
      </c>
      <c r="Q155" s="38" t="s">
        <v>176</v>
      </c>
    </row>
    <row r="156" spans="3:17" ht="14" thickTop="1" thickBot="1" x14ac:dyDescent="0.35">
      <c r="C156" s="70"/>
      <c r="D156" s="71" t="s">
        <v>39</v>
      </c>
      <c r="E156" s="65" t="s">
        <v>39</v>
      </c>
      <c r="F156" s="65" t="s">
        <v>39</v>
      </c>
      <c r="G156" s="65" t="s">
        <v>39</v>
      </c>
      <c r="H156" s="65" t="s">
        <v>39</v>
      </c>
      <c r="I156" s="65" t="s">
        <v>39</v>
      </c>
      <c r="J156" s="65" t="s">
        <v>32</v>
      </c>
      <c r="K156" s="65" t="s">
        <v>32</v>
      </c>
      <c r="L156" s="65" t="s">
        <v>32</v>
      </c>
      <c r="M156" s="65" t="s">
        <v>32</v>
      </c>
      <c r="N156" s="65" t="s">
        <v>32</v>
      </c>
      <c r="O156" s="65" t="s">
        <v>32</v>
      </c>
      <c r="P156" s="65" t="s">
        <v>32</v>
      </c>
      <c r="Q156" s="66" t="s">
        <v>32</v>
      </c>
    </row>
    <row r="157" spans="3:17" ht="16" thickTop="1" x14ac:dyDescent="0.35">
      <c r="C157" s="24" t="s">
        <v>113</v>
      </c>
      <c r="D157" s="55">
        <f ca="1">INDIRECT(ADDRESS(D152+6,4,4,TRUE,"Car+SUV"))-D159</f>
        <v>315.65678541431657</v>
      </c>
      <c r="E157" s="53">
        <f ca="1">INDIRECT(ADDRESS(D152+6,5,4,TRUE,"Car+SUV"))-E159</f>
        <v>314.49351723235321</v>
      </c>
      <c r="F157" s="53">
        <f ca="1">INDIRECT(ADDRESS(D152+6,6,4,TRUE,"Car+SUV"))-F159</f>
        <v>334.11595127095603</v>
      </c>
      <c r="G157" s="53">
        <f ca="1">INDIRECT(ADDRESS($D152+6,7,4,TRUE,"Car+SUV"))-G159</f>
        <v>355.29405385950656</v>
      </c>
      <c r="H157" s="53">
        <f ca="1">INDIRECT(ADDRESS($D152+6,8,4,TRUE,"Car+SUV"))-H159</f>
        <v>365.04473432756839</v>
      </c>
      <c r="I157" s="53">
        <f ca="1">INDIRECT(ADDRESS(D152+6,9,4,TRUE,"Car+SUV"))-I159</f>
        <v>399.06799236681235</v>
      </c>
      <c r="J157" s="53">
        <f ca="1">INDIRECT(ADDRESS(D152+6,10,4,TRUE,"Car+SUV"))-J159</f>
        <v>404.63370097151488</v>
      </c>
      <c r="K157" s="53">
        <f ca="1">INDIRECT(ADDRESS(D152+6,11,4,TRUE,"Car+SUV"))-K159</f>
        <v>374.74199763828176</v>
      </c>
      <c r="L157" s="53">
        <f ca="1">INDIRECT(ADDRESS(D152+6,12,4,TRUE,"Car+SUV"))-L159</f>
        <v>342.59784007162364</v>
      </c>
      <c r="M157" s="53">
        <f ca="1">INDIRECT(ADDRESS(D152+6,13,4,TRUE,"Car+SUV"))-M159</f>
        <v>308.06336698386747</v>
      </c>
      <c r="N157" s="53">
        <f ca="1">INDIRECT(ADDRESS(D152+6,14,4,TRUE,"Car+SUV"))-N159</f>
        <v>274.31902519493599</v>
      </c>
      <c r="O157" s="53">
        <f ca="1">INDIRECT(ADDRESS(D152+6,15,4,TRUE,"Car+SUV"))-O159</f>
        <v>241.75477102808989</v>
      </c>
      <c r="P157" s="53">
        <f ca="1">INDIRECT(ADDRESS(D152+6,16,4,TRUE,"Car+SUV"))-P159</f>
        <v>209.99663116437551</v>
      </c>
      <c r="Q157" s="54">
        <f ca="1">INDIRECT(ADDRESS(D152+6,17,4,TRUE,"Car+SUV"))-Q159</f>
        <v>179.14956181446118</v>
      </c>
    </row>
    <row r="158" spans="3:17" ht="15.5" x14ac:dyDescent="0.35">
      <c r="C158" s="24" t="s">
        <v>114</v>
      </c>
      <c r="D158" s="55">
        <f ca="1">INDIRECT(ADDRESS(D152+6,4,4,TRUE,"Van+Ute"))-D160</f>
        <v>117.54987079284152</v>
      </c>
      <c r="E158" s="56">
        <f ca="1">INDIRECT(ADDRESS(D152+6,5,4,TRUE,"Van+Ute"))-E160</f>
        <v>118.76643316809626</v>
      </c>
      <c r="F158" s="56">
        <f ca="1">INDIRECT(ADDRESS(D152+6,6,4,TRUE,"Van+Ute"))-F160</f>
        <v>128.98615716441165</v>
      </c>
      <c r="G158" s="56">
        <f ca="1">INDIRECT(ADDRESS($D152+6,7,4,TRUE,"Van+Ute"))-G160</f>
        <v>131.00848553123018</v>
      </c>
      <c r="H158" s="56">
        <f ca="1">INDIRECT(ADDRESS($D152+6,8,4,TRUE,"Van+Ute"))-H160</f>
        <v>137.58949661859509</v>
      </c>
      <c r="I158" s="56">
        <f ca="1">INDIRECT(ADDRESS(D152+6,9,4,TRUE,"Van+Ute"))-I160</f>
        <v>148.98085399756656</v>
      </c>
      <c r="J158" s="56">
        <f ca="1">INDIRECT(ADDRESS(D152+6,10,4,TRUE,"Van+Ute"))-J160</f>
        <v>154.83078004476576</v>
      </c>
      <c r="K158" s="56">
        <f ca="1">INDIRECT(ADDRESS(D152+6,11,4,TRUE,"Van+Ute"))-K160</f>
        <v>151.31141811658273</v>
      </c>
      <c r="L158" s="56">
        <f ca="1">INDIRECT(ADDRESS(D152+6,12,4,TRUE,"Van+Ute"))-L160</f>
        <v>146.8517517558827</v>
      </c>
      <c r="M158" s="56">
        <f ca="1">INDIRECT(ADDRESS(D152+6,13,4,TRUE,"Van+Ute"))-M160</f>
        <v>141.79235282846213</v>
      </c>
      <c r="N158" s="56">
        <f ca="1">INDIRECT(ADDRESS(D152+6,14,4,TRUE,"Van+Ute"))-N160</f>
        <v>137.16393059918212</v>
      </c>
      <c r="O158" s="56">
        <f ca="1">INDIRECT(ADDRESS(D152+6,15,4,TRUE,"Van+Ute"))-O160</f>
        <v>132.79483836312312</v>
      </c>
      <c r="P158" s="56">
        <f ca="1">INDIRECT(ADDRESS(D152+6,16,4,TRUE,"Van+Ute"))-P160</f>
        <v>128.16319322300214</v>
      </c>
      <c r="Q158" s="57">
        <f ca="1">INDIRECT(ADDRESS(D152+6,17,4,TRUE,"Van+Ute"))-Q160</f>
        <v>123.07819215663987</v>
      </c>
    </row>
    <row r="159" spans="3:17" ht="15.5" x14ac:dyDescent="0.35">
      <c r="C159" s="24" t="s">
        <v>115</v>
      </c>
      <c r="D159" s="55">
        <f ca="1">INDIRECT(ADDRESS(D152+130,4,4,TRUE,"Car+SUV"))</f>
        <v>1.1442225342133525</v>
      </c>
      <c r="E159" s="56">
        <f ca="1">INDIRECT(ADDRESS(D152+130,5,4,TRUE,"Car+SUV"))</f>
        <v>1.0540488829695094</v>
      </c>
      <c r="F159" s="56">
        <f ca="1">INDIRECT(ADDRESS(D152+130,6,4,TRUE,"Car+SUV"))</f>
        <v>1.1981472473156056</v>
      </c>
      <c r="G159" s="56">
        <f ca="1">INDIRECT(ADDRESS($D152+130,7,4,TRUE,"Car+SUV"))</f>
        <v>1.2527801593547454</v>
      </c>
      <c r="H159" s="56">
        <f ca="1">INDIRECT(ADDRESS($D152+130,8,4,TRUE,"Car+SUV"))</f>
        <v>1.3930143884497399</v>
      </c>
      <c r="I159" s="56">
        <f ca="1">INDIRECT(ADDRESS(D152+130,9,4,TRUE,"Car+SUV"))</f>
        <v>1.5927428149916818</v>
      </c>
      <c r="J159" s="56">
        <f ca="1">INDIRECT(ADDRESS(D152+130,10,4,TRUE,"Car+SUV"))</f>
        <v>1.8099469840817424</v>
      </c>
      <c r="K159" s="56">
        <f ca="1">INDIRECT(ADDRESS(D152+130,11,4,TRUE,"Car+SUV"))</f>
        <v>36.139382148338875</v>
      </c>
      <c r="L159" s="56">
        <f ca="1">INDIRECT(ADDRESS(D152+130,12,4,TRUE,"Car+SUV"))</f>
        <v>69.998975471807782</v>
      </c>
      <c r="M159" s="56">
        <f ca="1">INDIRECT(ADDRESS(D152+130,13,4,TRUE,"Car+SUV"))</f>
        <v>102.1869703745578</v>
      </c>
      <c r="N159" s="56">
        <f ca="1">INDIRECT(ADDRESS(D152+130,14,4,TRUE,"Car+SUV"))</f>
        <v>132.63343207219293</v>
      </c>
      <c r="O159" s="56">
        <f ca="1">INDIRECT(ADDRESS(D152+130,15,4,TRUE,"Car+SUV"))</f>
        <v>161.25060360693064</v>
      </c>
      <c r="P159" s="56">
        <f ca="1">INDIRECT(ADDRESS(D152+130,16,4,TRUE,"Car+SUV"))</f>
        <v>187.79126173224404</v>
      </c>
      <c r="Q159" s="57">
        <f ca="1">INDIRECT(ADDRESS(D152+130,17,4,TRUE,"Car+SUV"))</f>
        <v>212.29814692760826</v>
      </c>
    </row>
    <row r="160" spans="3:17" ht="15.5" x14ac:dyDescent="0.35">
      <c r="C160" s="24" t="s">
        <v>116</v>
      </c>
      <c r="D160" s="55">
        <f ca="1">INDIRECT(ADDRESS(D152+130,4,4,TRUE,"Van+Ute"))</f>
        <v>1.2682562076734483</v>
      </c>
      <c r="E160" s="56">
        <f ca="1">INDIRECT(ADDRESS(D152+130,5,4,TRUE,"Van+Ute"))</f>
        <v>1.4448745499123756</v>
      </c>
      <c r="F160" s="56">
        <f ca="1">INDIRECT(ADDRESS(D152+130,6,4,TRUE,"Van+Ute"))</f>
        <v>1.5652889724821897</v>
      </c>
      <c r="G160" s="56">
        <f ca="1">INDIRECT(ADDRESS($D152+130,7,4,TRUE,"Van+Ute"))</f>
        <v>1.7035079649915017</v>
      </c>
      <c r="H160" s="56">
        <f ca="1">INDIRECT(ADDRESS($D152+130,8,4,TRUE,"Van+Ute"))</f>
        <v>1.6452509945192739</v>
      </c>
      <c r="I160" s="56">
        <f ca="1">INDIRECT(ADDRESS(D152+130,9,4,TRUE,"Van+Ute"))</f>
        <v>1.9610011319145522</v>
      </c>
      <c r="J160" s="56">
        <f ca="1">INDIRECT(ADDRESS(D152+130,10,4,TRUE,"Van+Ute"))</f>
        <v>2.2284251111238969</v>
      </c>
      <c r="K160" s="56">
        <f ca="1">INDIRECT(ADDRESS(D152+130,11,4,TRUE,"Van+Ute"))</f>
        <v>10.799176559742081</v>
      </c>
      <c r="L160" s="56">
        <f ca="1">INDIRECT(ADDRESS(D152+130,12,4,TRUE,"Van+Ute"))</f>
        <v>19.243196989036335</v>
      </c>
      <c r="M160" s="56">
        <f ca="1">INDIRECT(ADDRESS(D152+130,13,4,TRUE,"Van+Ute"))</f>
        <v>27.277949127970896</v>
      </c>
      <c r="N160" s="56">
        <f ca="1">INDIRECT(ADDRESS(D152+130,14,4,TRUE,"Van+Ute"))</f>
        <v>34.908347886375395</v>
      </c>
      <c r="O160" s="56">
        <f ca="1">INDIRECT(ADDRESS(D152+130,15,4,TRUE,"Van+Ute"))</f>
        <v>42.079240933739428</v>
      </c>
      <c r="P160" s="56">
        <f ca="1">INDIRECT(ADDRESS(D152+130,16,4,TRUE,"Van+Ute"))</f>
        <v>48.767377772483378</v>
      </c>
      <c r="Q160" s="57">
        <f ca="1">INDIRECT(ADDRESS(D152+130,17,4,TRUE,"Van+Ute"))</f>
        <v>54.987587575592428</v>
      </c>
    </row>
    <row r="161" spans="3:17" ht="15.5" x14ac:dyDescent="0.35">
      <c r="C161" s="24" t="s">
        <v>43</v>
      </c>
      <c r="D161" s="55">
        <f ca="1">INDIRECT(ADDRESS(D152+6,4,4,TRUE,"Heavy Truck"))</f>
        <v>43.405863172759247</v>
      </c>
      <c r="E161" s="56">
        <f ca="1">INDIRECT(ADDRESS(D152+6,5,4,TRUE,"Heavy Truck"))</f>
        <v>44.964471592553494</v>
      </c>
      <c r="F161" s="56">
        <f ca="1">INDIRECT(ADDRESS(D152+6,6,4,TRUE,"Heavy Truck"))</f>
        <v>51.199204018245595</v>
      </c>
      <c r="G161" s="56">
        <f ca="1">INDIRECT(ADDRESS($D152+6,7,4,TRUE,"Heavy Truck"))</f>
        <v>53.773933142395627</v>
      </c>
      <c r="H161" s="56">
        <f ca="1">INDIRECT(ADDRESS($D152+6,8,4,TRUE,"Heavy Truck"))</f>
        <v>55.38083484363041</v>
      </c>
      <c r="I161" s="56">
        <f ca="1">INDIRECT(ADDRESS(D152+6,9,4,TRUE,"Heavy Truck"))</f>
        <v>59.951318587317708</v>
      </c>
      <c r="J161" s="56">
        <f ca="1">INDIRECT(ADDRESS(D152+6,10,4,TRUE,"Heavy Truck"))</f>
        <v>62.401756408639024</v>
      </c>
      <c r="K161" s="56">
        <f ca="1">INDIRECT(ADDRESS(D152+6,11,4,TRUE,"Heavy Truck"))</f>
        <v>62.482502910118917</v>
      </c>
      <c r="L161" s="56">
        <f ca="1">INDIRECT(ADDRESS(D152+6,12,4,TRUE,"Heavy Truck"))</f>
        <v>62.521418793258427</v>
      </c>
      <c r="M161" s="56">
        <f ca="1">INDIRECT(ADDRESS(D152+6,13,4,TRUE,"Heavy Truck"))</f>
        <v>60.823985994776891</v>
      </c>
      <c r="N161" s="56">
        <f ca="1">INDIRECT(ADDRESS(D152+6,14,4,TRUE,"Heavy Truck"))</f>
        <v>59.17224072566659</v>
      </c>
      <c r="O161" s="56">
        <f ca="1">INDIRECT(ADDRESS(D152+6,15,4,TRUE,"Heavy Truck"))</f>
        <v>57.905667127573381</v>
      </c>
      <c r="P161" s="56">
        <f ca="1">INDIRECT(ADDRESS(D152+6,16,4,TRUE,"Heavy Truck"))</f>
        <v>56.665589135313638</v>
      </c>
      <c r="Q161" s="57">
        <f ca="1">INDIRECT(ADDRESS(D152+6,17,4,TRUE,"Heavy Truck"))</f>
        <v>55.451469919343033</v>
      </c>
    </row>
    <row r="162" spans="3:17" ht="15.5" x14ac:dyDescent="0.35">
      <c r="C162" s="24" t="s">
        <v>44</v>
      </c>
      <c r="D162" s="55">
        <f ca="1">INDIRECT(ADDRESS(D152+6,4,4,TRUE,"Heavy Bus"))</f>
        <v>3.5994838845999344</v>
      </c>
      <c r="E162" s="56">
        <f ca="1">INDIRECT(ADDRESS(D152+6,5,4,TRUE,"Heavy Bus"))</f>
        <v>3.3064430965177922</v>
      </c>
      <c r="F162" s="56">
        <f ca="1">INDIRECT(ADDRESS(D152+6,6,4,TRUE,"Heavy Bus"))</f>
        <v>3.8237875581235587</v>
      </c>
      <c r="G162" s="56">
        <f ca="1">INDIRECT(ADDRESS($D152+6,7,4,TRUE,"Heavy Bus"))</f>
        <v>3.2933402565423875</v>
      </c>
      <c r="H162" s="56">
        <f ca="1">INDIRECT(ADDRESS($D152+6,8,4,TRUE,"Heavy Bus"))</f>
        <v>2.9532775649776024</v>
      </c>
      <c r="I162" s="56">
        <f ca="1">INDIRECT(ADDRESS(D152+6,9,4,TRUE,"Heavy Bus"))</f>
        <v>3.1258663149864989</v>
      </c>
      <c r="J162" s="56">
        <f ca="1">INDIRECT(ADDRESS(D152+6,10,4,TRUE,"Heavy Bus"))</f>
        <v>3.753779161541595</v>
      </c>
      <c r="K162" s="56">
        <f ca="1">INDIRECT(ADDRESS(D152+6,11,4,TRUE,"Heavy Bus"))</f>
        <v>4.2968682524071165</v>
      </c>
      <c r="L162" s="56">
        <f ca="1">INDIRECT(ADDRESS(D152+6,12,4,TRUE,"Heavy Bus"))</f>
        <v>4.8352357598886577</v>
      </c>
      <c r="M162" s="56">
        <f ca="1">INDIRECT(ADDRESS(D152+6,13,4,TRUE,"Heavy Bus"))</f>
        <v>5.4741818530432136</v>
      </c>
      <c r="N162" s="56">
        <f ca="1">INDIRECT(ADDRESS(D152+6,14,4,TRUE,"Heavy Bus"))</f>
        <v>6.220757926192471</v>
      </c>
      <c r="O162" s="56">
        <f ca="1">INDIRECT(ADDRESS(D152+6,15,4,TRUE,"Heavy Bus"))</f>
        <v>7.113260641097086</v>
      </c>
      <c r="P162" s="56">
        <f ca="1">INDIRECT(ADDRESS(D152+6,16,4,TRUE,"Heavy Bus"))</f>
        <v>8.1486664943874025</v>
      </c>
      <c r="Q162" s="57">
        <f ca="1">INDIRECT(ADDRESS(D152+6,17,4,TRUE,"Heavy Bus"))</f>
        <v>9.3505851002024212</v>
      </c>
    </row>
    <row r="163" spans="3:17" ht="16" thickBot="1" x14ac:dyDescent="0.4">
      <c r="C163" s="24" t="s">
        <v>42</v>
      </c>
      <c r="D163" s="55">
        <f ca="1">INDIRECT(ADDRESS(D152+6,4,4,TRUE,"Motorcycle"))</f>
        <v>6.2495289086035593</v>
      </c>
      <c r="E163" s="56">
        <f ca="1">INDIRECT(ADDRESS(D152+6,5,4,TRUE,"Motorcycle"))</f>
        <v>6.303205469607259</v>
      </c>
      <c r="F163" s="56">
        <f ca="1">INDIRECT(ADDRESS(D152+6,6,4,TRUE,"Motorcycle"))</f>
        <v>6.6727696224627238</v>
      </c>
      <c r="G163" s="56">
        <f ca="1">INDIRECT(ADDRESS($D152+6,7,4,TRUE,"Motorcycle"))</f>
        <v>6.6052521510774138</v>
      </c>
      <c r="H163" s="56">
        <f ca="1">INDIRECT(ADDRESS($D152+6,8,4,TRUE,"Motorcycle"))</f>
        <v>7.1659192329701016</v>
      </c>
      <c r="I163" s="56">
        <f ca="1">INDIRECT(ADDRESS(D152+6,9,4,TRUE,"Motorcycle"))</f>
        <v>7.7300286856583789</v>
      </c>
      <c r="J163" s="56">
        <f ca="1">INDIRECT(ADDRESS(D152+6,10,4,TRUE,"Motorcycle"))</f>
        <v>7.7256215330702487</v>
      </c>
      <c r="K163" s="56">
        <f ca="1">INDIRECT(ADDRESS(D152+6,11,4,TRUE,"Motorcycle"))</f>
        <v>7.5898365600460656</v>
      </c>
      <c r="L163" s="56">
        <f ca="1">INDIRECT(ADDRESS(D152+6,12,4,TRUE,"Motorcycle"))</f>
        <v>7.3716117182408176</v>
      </c>
      <c r="M163" s="56">
        <f ca="1">INDIRECT(ADDRESS(D152+6,13,4,TRUE,"Motorcycle"))</f>
        <v>7.0241378044912857</v>
      </c>
      <c r="N163" s="56">
        <f ca="1">INDIRECT(ADDRESS(D152+6,14,4,TRUE,"Motorcycle"))</f>
        <v>6.661429750998348</v>
      </c>
      <c r="O163" s="56">
        <f ca="1">INDIRECT(ADDRESS(D152+6,15,4,TRUE,"Motorcycle"))</f>
        <v>6.5314349274203058</v>
      </c>
      <c r="P163" s="56">
        <f ca="1">INDIRECT(ADDRESS(D152+6,16,4,TRUE,"Motorcycle"))</f>
        <v>6.3838605758869775</v>
      </c>
      <c r="Q163" s="57">
        <f ca="1">INDIRECT(ADDRESS(D152+6,17,4,TRUE,"Motorcycle"))</f>
        <v>6.2264550014653262</v>
      </c>
    </row>
    <row r="164" spans="3:17" ht="16.5" thickTop="1" thickBot="1" x14ac:dyDescent="0.4">
      <c r="C164" s="31" t="s">
        <v>45</v>
      </c>
      <c r="D164" s="61">
        <f ca="1">SUM(D157:D163)</f>
        <v>488.8740109150076</v>
      </c>
      <c r="E164" s="62">
        <f t="shared" ref="E164:Q164" ca="1" si="15">SUM(E157:E163)</f>
        <v>490.33299399200985</v>
      </c>
      <c r="F164" s="62">
        <f t="shared" ca="1" si="15"/>
        <v>527.56130585399728</v>
      </c>
      <c r="G164" s="62">
        <f t="shared" ca="1" si="15"/>
        <v>552.93135306509839</v>
      </c>
      <c r="H164" s="62">
        <f t="shared" ca="1" si="15"/>
        <v>571.17252797071058</v>
      </c>
      <c r="I164" s="62">
        <f t="shared" ca="1" si="15"/>
        <v>622.40980389924778</v>
      </c>
      <c r="J164" s="62">
        <f t="shared" ca="1" si="15"/>
        <v>637.38401021473715</v>
      </c>
      <c r="K164" s="62">
        <f t="shared" ca="1" si="15"/>
        <v>647.36118218551758</v>
      </c>
      <c r="L164" s="62">
        <f t="shared" ca="1" si="15"/>
        <v>653.42003055973839</v>
      </c>
      <c r="M164" s="62">
        <f t="shared" ca="1" si="15"/>
        <v>652.64294496716968</v>
      </c>
      <c r="N164" s="62">
        <f t="shared" ca="1" si="15"/>
        <v>651.07916415554382</v>
      </c>
      <c r="O164" s="62">
        <f t="shared" ca="1" si="15"/>
        <v>649.42981662797388</v>
      </c>
      <c r="P164" s="62">
        <f t="shared" ca="1" si="15"/>
        <v>645.9165800976931</v>
      </c>
      <c r="Q164" s="63">
        <f t="shared" ca="1" si="15"/>
        <v>640.54199849531255</v>
      </c>
    </row>
    <row r="165" spans="3:17" ht="13" thickTop="1" x14ac:dyDescent="0.25">
      <c r="L165"/>
      <c r="N165" s="121"/>
    </row>
    <row r="166" spans="3:17" ht="13" thickBot="1" x14ac:dyDescent="0.3">
      <c r="L166"/>
      <c r="N166" s="121"/>
    </row>
    <row r="167" spans="3:17" ht="16.5" thickTop="1" thickBot="1" x14ac:dyDescent="0.4">
      <c r="C167" s="180" t="str">
        <f ca="1">INDIRECT(ADDRESS(D167+6,3,4,TRUE,"Car+SUV"))</f>
        <v>Canterbury</v>
      </c>
      <c r="D167" s="182">
        <v>12</v>
      </c>
      <c r="E167" t="s">
        <v>170</v>
      </c>
      <c r="L167"/>
      <c r="N167" s="121"/>
    </row>
    <row r="168" spans="3:17" ht="13.5" thickTop="1" thickBot="1" x14ac:dyDescent="0.3">
      <c r="L168"/>
      <c r="N168" s="121"/>
    </row>
    <row r="169" spans="3:17" ht="16" thickTop="1" x14ac:dyDescent="0.35">
      <c r="C169" s="32" t="s">
        <v>47</v>
      </c>
      <c r="D169" s="33"/>
      <c r="E169" s="33"/>
      <c r="F169" s="33"/>
      <c r="G169" s="33"/>
      <c r="H169" s="33"/>
      <c r="I169" s="33"/>
      <c r="J169" s="34"/>
      <c r="K169" s="34"/>
      <c r="L169" s="34"/>
      <c r="M169" s="34"/>
      <c r="N169" s="34"/>
      <c r="O169" s="34"/>
      <c r="P169" s="34"/>
      <c r="Q169" s="35"/>
    </row>
    <row r="170" spans="3:17" ht="13.5" thickBot="1" x14ac:dyDescent="0.35">
      <c r="C170" s="36"/>
      <c r="D170" s="37" t="s">
        <v>25</v>
      </c>
      <c r="E170" s="37" t="s">
        <v>37</v>
      </c>
      <c r="F170" s="37" t="s">
        <v>38</v>
      </c>
      <c r="G170" s="37" t="s">
        <v>177</v>
      </c>
      <c r="H170" s="37" t="s">
        <v>178</v>
      </c>
      <c r="I170" s="37" t="s">
        <v>26</v>
      </c>
      <c r="J170" s="37" t="s">
        <v>27</v>
      </c>
      <c r="K170" s="37" t="s">
        <v>28</v>
      </c>
      <c r="L170" s="37" t="s">
        <v>29</v>
      </c>
      <c r="M170" s="37" t="s">
        <v>30</v>
      </c>
      <c r="N170" s="37" t="s">
        <v>31</v>
      </c>
      <c r="O170" s="37" t="s">
        <v>174</v>
      </c>
      <c r="P170" s="37" t="s">
        <v>175</v>
      </c>
      <c r="Q170" s="38" t="s">
        <v>176</v>
      </c>
    </row>
    <row r="171" spans="3:17" ht="14" thickTop="1" thickBot="1" x14ac:dyDescent="0.35">
      <c r="C171" s="70"/>
      <c r="D171" s="71" t="s">
        <v>39</v>
      </c>
      <c r="E171" s="65" t="s">
        <v>39</v>
      </c>
      <c r="F171" s="65" t="s">
        <v>39</v>
      </c>
      <c r="G171" s="65" t="s">
        <v>39</v>
      </c>
      <c r="H171" s="65" t="s">
        <v>39</v>
      </c>
      <c r="I171" s="65" t="s">
        <v>39</v>
      </c>
      <c r="J171" s="65" t="s">
        <v>32</v>
      </c>
      <c r="K171" s="65" t="s">
        <v>32</v>
      </c>
      <c r="L171" s="65" t="s">
        <v>32</v>
      </c>
      <c r="M171" s="65" t="s">
        <v>32</v>
      </c>
      <c r="N171" s="65" t="s">
        <v>32</v>
      </c>
      <c r="O171" s="65" t="s">
        <v>32</v>
      </c>
      <c r="P171" s="65" t="s">
        <v>32</v>
      </c>
      <c r="Q171" s="66" t="s">
        <v>32</v>
      </c>
    </row>
    <row r="172" spans="3:17" ht="16" thickTop="1" x14ac:dyDescent="0.35">
      <c r="C172" s="24" t="s">
        <v>113</v>
      </c>
      <c r="D172" s="55">
        <f ca="1">INDIRECT(ADDRESS(D167+6,4,4,TRUE,"Car+SUV"))-D174</f>
        <v>3909.4091393094855</v>
      </c>
      <c r="E172" s="53">
        <f ca="1">INDIRECT(ADDRESS(D167+6,5,4,TRUE,"Car+SUV"))-E174</f>
        <v>4072.571980736157</v>
      </c>
      <c r="F172" s="53">
        <f ca="1">INDIRECT(ADDRESS(D167+6,6,4,TRUE,"Car+SUV"))-F174</f>
        <v>4241.0457036015796</v>
      </c>
      <c r="G172" s="53">
        <f ca="1">INDIRECT(ADDRESS($D167+6,7,4,TRUE,"Car+SUV"))-G174</f>
        <v>4492.3848206583034</v>
      </c>
      <c r="H172" s="53">
        <f ca="1">INDIRECT(ADDRESS($D167+6,8,4,TRUE,"Car+SUV"))-H174</f>
        <v>4540.8564069955373</v>
      </c>
      <c r="I172" s="53">
        <f ca="1">INDIRECT(ADDRESS(D167+6,9,4,TRUE,"Car+SUV"))-I174</f>
        <v>4776.6060174439363</v>
      </c>
      <c r="J172" s="53">
        <f ca="1">INDIRECT(ADDRESS(D167+6,10,4,TRUE,"Car+SUV"))-J174</f>
        <v>5228.6265150881827</v>
      </c>
      <c r="K172" s="53">
        <f ca="1">INDIRECT(ADDRESS(D167+6,11,4,TRUE,"Car+SUV"))-K174</f>
        <v>5184.2552622614985</v>
      </c>
      <c r="L172" s="53">
        <f ca="1">INDIRECT(ADDRESS(D167+6,12,4,TRUE,"Car+SUV"))-L174</f>
        <v>5076.7229523952592</v>
      </c>
      <c r="M172" s="53">
        <f ca="1">INDIRECT(ADDRESS(D167+6,13,4,TRUE,"Car+SUV"))-M174</f>
        <v>4900.5613885285002</v>
      </c>
      <c r="N172" s="53">
        <f ca="1">INDIRECT(ADDRESS(D167+6,14,4,TRUE,"Car+SUV"))-N174</f>
        <v>4692.1653956401933</v>
      </c>
      <c r="O172" s="53">
        <f ca="1">INDIRECT(ADDRESS(D167+6,15,4,TRUE,"Car+SUV"))-O174</f>
        <v>4463.7239737314667</v>
      </c>
      <c r="P172" s="53">
        <f ca="1">INDIRECT(ADDRESS(D167+6,16,4,TRUE,"Car+SUV"))-P174</f>
        <v>4201.2454822276504</v>
      </c>
      <c r="Q172" s="54">
        <f ca="1">INDIRECT(ADDRESS(D167+6,17,4,TRUE,"Car+SUV"))-Q174</f>
        <v>3902.3702432673849</v>
      </c>
    </row>
    <row r="173" spans="3:17" ht="15.5" x14ac:dyDescent="0.35">
      <c r="C173" s="24" t="s">
        <v>114</v>
      </c>
      <c r="D173" s="55">
        <f ca="1">INDIRECT(ADDRESS(D167+6,4,4,TRUE,"Van+Ute"))-D175</f>
        <v>865.93473237960256</v>
      </c>
      <c r="E173" s="56">
        <f ca="1">INDIRECT(ADDRESS(D167+6,5,4,TRUE,"Van+Ute"))-E175</f>
        <v>965.88494389205437</v>
      </c>
      <c r="F173" s="56">
        <f ca="1">INDIRECT(ADDRESS(D167+6,6,4,TRUE,"Van+Ute"))-F175</f>
        <v>1052.346020474404</v>
      </c>
      <c r="G173" s="56">
        <f ca="1">INDIRECT(ADDRESS($D167+6,7,4,TRUE,"Van+Ute"))-G175</f>
        <v>1127.7016401947203</v>
      </c>
      <c r="H173" s="56">
        <f ca="1">INDIRECT(ADDRESS($D167+6,8,4,TRUE,"Van+Ute"))-H175</f>
        <v>1141.068892689666</v>
      </c>
      <c r="I173" s="56">
        <f ca="1">INDIRECT(ADDRESS(D167+6,9,4,TRUE,"Van+Ute"))-I175</f>
        <v>1235.6274315911382</v>
      </c>
      <c r="J173" s="56">
        <f ca="1">INDIRECT(ADDRESS(D167+6,10,4,TRUE,"Van+Ute"))-J175</f>
        <v>1396.7570498648406</v>
      </c>
      <c r="K173" s="56">
        <f ca="1">INDIRECT(ADDRESS(D167+6,11,4,TRUE,"Van+Ute"))-K175</f>
        <v>1482.6058860879034</v>
      </c>
      <c r="L173" s="56">
        <f ca="1">INDIRECT(ADDRESS(D167+6,12,4,TRUE,"Van+Ute"))-L175</f>
        <v>1562.6219425292265</v>
      </c>
      <c r="M173" s="56">
        <f ca="1">INDIRECT(ADDRESS(D167+6,13,4,TRUE,"Van+Ute"))-M175</f>
        <v>1641.7002092929893</v>
      </c>
      <c r="N173" s="56">
        <f ca="1">INDIRECT(ADDRESS(D167+6,14,4,TRUE,"Van+Ute"))-N175</f>
        <v>1728.2750446590135</v>
      </c>
      <c r="O173" s="56">
        <f ca="1">INDIRECT(ADDRESS(D167+6,15,4,TRUE,"Van+Ute"))-O175</f>
        <v>1822.1607423852665</v>
      </c>
      <c r="P173" s="56">
        <f ca="1">INDIRECT(ADDRESS(D167+6,16,4,TRUE,"Van+Ute"))-P175</f>
        <v>1914.7281290444403</v>
      </c>
      <c r="Q173" s="57">
        <f ca="1">INDIRECT(ADDRESS(D167+6,17,4,TRUE,"Van+Ute"))-Q175</f>
        <v>2001.1207986834117</v>
      </c>
    </row>
    <row r="174" spans="3:17" ht="15.5" x14ac:dyDescent="0.35">
      <c r="C174" s="24" t="s">
        <v>115</v>
      </c>
      <c r="D174" s="55">
        <f ca="1">INDIRECT(ADDRESS(D167+130,4,4,TRUE,"Car+SUV"))</f>
        <v>24.862057792989166</v>
      </c>
      <c r="E174" s="56">
        <f ca="1">INDIRECT(ADDRESS(D167+130,5,4,TRUE,"Car+SUV"))</f>
        <v>26.303948770777119</v>
      </c>
      <c r="F174" s="56">
        <f ca="1">INDIRECT(ADDRESS(D167+130,6,4,TRUE,"Car+SUV"))</f>
        <v>26.789571187121513</v>
      </c>
      <c r="G174" s="56">
        <f ca="1">INDIRECT(ADDRESS($D167+130,7,4,TRUE,"Car+SUV"))</f>
        <v>27.744235891513373</v>
      </c>
      <c r="H174" s="56">
        <f ca="1">INDIRECT(ADDRESS($D167+130,8,4,TRUE,"Car+SUV"))</f>
        <v>30.216206847380992</v>
      </c>
      <c r="I174" s="56">
        <f ca="1">INDIRECT(ADDRESS(D167+130,9,4,TRUE,"Car+SUV"))</f>
        <v>47.342605656794078</v>
      </c>
      <c r="J174" s="56">
        <f ca="1">INDIRECT(ADDRESS(D167+130,10,4,TRUE,"Car+SUV"))</f>
        <v>56.469326278771511</v>
      </c>
      <c r="K174" s="56">
        <f ca="1">INDIRECT(ADDRESS(D167+130,11,4,TRUE,"Car+SUV"))</f>
        <v>509.87293990352043</v>
      </c>
      <c r="L174" s="56">
        <f ca="1">INDIRECT(ADDRESS(D167+130,12,4,TRUE,"Car+SUV"))</f>
        <v>1011.512589566052</v>
      </c>
      <c r="M174" s="56">
        <f ca="1">INDIRECT(ADDRESS(D167+130,13,4,TRUE,"Car+SUV"))</f>
        <v>1547.4338602613523</v>
      </c>
      <c r="N174" s="56">
        <f ca="1">INDIRECT(ADDRESS(D167+130,14,4,TRUE,"Car+SUV"))</f>
        <v>2115.3370647535389</v>
      </c>
      <c r="O174" s="56">
        <f ca="1">INDIRECT(ADDRESS(D167+130,15,4,TRUE,"Car+SUV"))</f>
        <v>2717.4017770079995</v>
      </c>
      <c r="P174" s="56">
        <f ca="1">INDIRECT(ADDRESS(D167+130,16,4,TRUE,"Car+SUV"))</f>
        <v>3348.6655814579431</v>
      </c>
      <c r="Q174" s="57">
        <f ca="1">INDIRECT(ADDRESS(D167+130,17,4,TRUE,"Car+SUV"))</f>
        <v>4009.0598484486386</v>
      </c>
    </row>
    <row r="175" spans="3:17" ht="15.5" x14ac:dyDescent="0.35">
      <c r="C175" s="24" t="s">
        <v>116</v>
      </c>
      <c r="D175" s="55">
        <f ca="1">INDIRECT(ADDRESS(D167+130,4,4,TRUE,"Van+Ute"))</f>
        <v>8.2677911780326365</v>
      </c>
      <c r="E175" s="56">
        <f ca="1">INDIRECT(ADDRESS(D167+130,5,4,TRUE,"Van+Ute"))</f>
        <v>7.5795922240104634</v>
      </c>
      <c r="F175" s="56">
        <f ca="1">INDIRECT(ADDRESS(D167+130,6,4,TRUE,"Van+Ute"))</f>
        <v>7.4576000049046254</v>
      </c>
      <c r="G175" s="56">
        <f ca="1">INDIRECT(ADDRESS($D167+130,7,4,TRUE,"Van+Ute"))</f>
        <v>8.0034110467880311</v>
      </c>
      <c r="H175" s="56">
        <f ca="1">INDIRECT(ADDRESS($D167+130,8,4,TRUE,"Van+Ute"))</f>
        <v>9.4588481044587134</v>
      </c>
      <c r="I175" s="56">
        <f ca="1">INDIRECT(ADDRESS(D167+130,9,4,TRUE,"Van+Ute"))</f>
        <v>11.409863283469724</v>
      </c>
      <c r="J175" s="56">
        <f ca="1">INDIRECT(ADDRESS(D167+130,10,4,TRUE,"Van+Ute"))</f>
        <v>13.609459885272777</v>
      </c>
      <c r="K175" s="56">
        <f ca="1">INDIRECT(ADDRESS(D167+130,11,4,TRUE,"Van+Ute"))</f>
        <v>76.547658190344137</v>
      </c>
      <c r="L175" s="56">
        <f ca="1">INDIRECT(ADDRESS(D167+130,12,4,TRUE,"Van+Ute"))</f>
        <v>146.08224658145227</v>
      </c>
      <c r="M175" s="56">
        <f ca="1">INDIRECT(ADDRESS(D167+130,13,4,TRUE,"Van+Ute"))</f>
        <v>220.33129669607683</v>
      </c>
      <c r="N175" s="56">
        <f ca="1">INDIRECT(ADDRESS(D167+130,14,4,TRUE,"Van+Ute"))</f>
        <v>299.04875780572354</v>
      </c>
      <c r="O175" s="56">
        <f ca="1">INDIRECT(ADDRESS(D167+130,15,4,TRUE,"Van+Ute"))</f>
        <v>382.3999468199205</v>
      </c>
      <c r="P175" s="56">
        <f ca="1">INDIRECT(ADDRESS(D167+130,16,4,TRUE,"Van+Ute"))</f>
        <v>469.83747755179451</v>
      </c>
      <c r="Q175" s="57">
        <f ca="1">INDIRECT(ADDRESS(D167+130,17,4,TRUE,"Van+Ute"))</f>
        <v>561.36200969533434</v>
      </c>
    </row>
    <row r="176" spans="3:17" ht="15.5" x14ac:dyDescent="0.35">
      <c r="C176" s="24" t="s">
        <v>43</v>
      </c>
      <c r="D176" s="55">
        <f ca="1">INDIRECT(ADDRESS(D167+6,4,4,TRUE,"Heavy Truck"))</f>
        <v>381.81723753110873</v>
      </c>
      <c r="E176" s="56">
        <f ca="1">INDIRECT(ADDRESS(D167+6,5,4,TRUE,"Heavy Truck"))</f>
        <v>410.17269428376483</v>
      </c>
      <c r="F176" s="56">
        <f ca="1">INDIRECT(ADDRESS(D167+6,6,4,TRUE,"Heavy Truck"))</f>
        <v>432.02884000366595</v>
      </c>
      <c r="G176" s="56">
        <f ca="1">INDIRECT(ADDRESS($D167+6,7,4,TRUE,"Heavy Truck"))</f>
        <v>444.15135276672709</v>
      </c>
      <c r="H176" s="56">
        <f ca="1">INDIRECT(ADDRESS($D167+6,8,4,TRUE,"Heavy Truck"))</f>
        <v>438.52715852727829</v>
      </c>
      <c r="I176" s="56">
        <f ca="1">INDIRECT(ADDRESS(D167+6,9,4,TRUE,"Heavy Truck"))</f>
        <v>456.16902527493852</v>
      </c>
      <c r="J176" s="56">
        <f ca="1">INDIRECT(ADDRESS(D167+6,10,4,TRUE,"Heavy Truck"))</f>
        <v>501.64437680497252</v>
      </c>
      <c r="K176" s="56">
        <f ca="1">INDIRECT(ADDRESS(D167+6,11,4,TRUE,"Heavy Truck"))</f>
        <v>523.488006122554</v>
      </c>
      <c r="L176" s="56">
        <f ca="1">INDIRECT(ADDRESS(D167+6,12,4,TRUE,"Heavy Truck"))</f>
        <v>543.9513479847077</v>
      </c>
      <c r="M176" s="56">
        <f ca="1">INDIRECT(ADDRESS(D167+6,13,4,TRUE,"Heavy Truck"))</f>
        <v>558.37389979869181</v>
      </c>
      <c r="N176" s="56">
        <f ca="1">INDIRECT(ADDRESS(D167+6,14,4,TRUE,"Heavy Truck"))</f>
        <v>571.75605293820502</v>
      </c>
      <c r="O176" s="56">
        <f ca="1">INDIRECT(ADDRESS(D167+6,15,4,TRUE,"Heavy Truck"))</f>
        <v>575.25263231576946</v>
      </c>
      <c r="P176" s="56">
        <f ca="1">INDIRECT(ADDRESS(D167+6,16,4,TRUE,"Heavy Truck"))</f>
        <v>578.23014537151994</v>
      </c>
      <c r="Q176" s="57">
        <f ca="1">INDIRECT(ADDRESS(D167+6,17,4,TRUE,"Heavy Truck"))</f>
        <v>580.71203957966702</v>
      </c>
    </row>
    <row r="177" spans="3:17" ht="15.5" x14ac:dyDescent="0.35">
      <c r="C177" s="24" t="s">
        <v>44</v>
      </c>
      <c r="D177" s="55">
        <f ca="1">INDIRECT(ADDRESS(D167+6,4,4,TRUE,"Heavy Bus"))</f>
        <v>41.14957598032106</v>
      </c>
      <c r="E177" s="56">
        <f ca="1">INDIRECT(ADDRESS(D167+6,5,4,TRUE,"Heavy Bus"))</f>
        <v>43.354328716915184</v>
      </c>
      <c r="F177" s="56">
        <f ca="1">INDIRECT(ADDRESS(D167+6,6,4,TRUE,"Heavy Bus"))</f>
        <v>46.0293653129538</v>
      </c>
      <c r="G177" s="56">
        <f ca="1">INDIRECT(ADDRESS($D167+6,7,4,TRUE,"Heavy Bus"))</f>
        <v>51.014889636037587</v>
      </c>
      <c r="H177" s="56">
        <f ca="1">INDIRECT(ADDRESS($D167+6,8,4,TRUE,"Heavy Bus"))</f>
        <v>53.922018565639881</v>
      </c>
      <c r="I177" s="56">
        <f ca="1">INDIRECT(ADDRESS(D167+6,9,4,TRUE,"Heavy Bus"))</f>
        <v>59.147801355373758</v>
      </c>
      <c r="J177" s="56">
        <f ca="1">INDIRECT(ADDRESS(D167+6,10,4,TRUE,"Heavy Bus"))</f>
        <v>67.168736319588447</v>
      </c>
      <c r="K177" s="56">
        <f ca="1">INDIRECT(ADDRESS(D167+6,11,4,TRUE,"Heavy Bus"))</f>
        <v>74.37030175350705</v>
      </c>
      <c r="L177" s="56">
        <f ca="1">INDIRECT(ADDRESS(D167+6,12,4,TRUE,"Heavy Bus"))</f>
        <v>80.962677189775292</v>
      </c>
      <c r="M177" s="56">
        <f ca="1">INDIRECT(ADDRESS(D167+6,13,4,TRUE,"Heavy Bus"))</f>
        <v>88.638701953976451</v>
      </c>
      <c r="N177" s="56">
        <f ca="1">INDIRECT(ADDRESS(D167+6,14,4,TRUE,"Heavy Bus"))</f>
        <v>97.515588669095294</v>
      </c>
      <c r="O177" s="56">
        <f ca="1">INDIRECT(ADDRESS(D167+6,15,4,TRUE,"Heavy Bus"))</f>
        <v>108.66391374228427</v>
      </c>
      <c r="P177" s="56">
        <f ca="1">INDIRECT(ADDRESS(D167+6,16,4,TRUE,"Heavy Bus"))</f>
        <v>121.58787797150089</v>
      </c>
      <c r="Q177" s="57">
        <f ca="1">INDIRECT(ADDRESS(D167+6,17,4,TRUE,"Heavy Bus"))</f>
        <v>136.57029463961234</v>
      </c>
    </row>
    <row r="178" spans="3:17" ht="16" thickBot="1" x14ac:dyDescent="0.4">
      <c r="C178" s="24" t="s">
        <v>42</v>
      </c>
      <c r="D178" s="55">
        <f ca="1">INDIRECT(ADDRESS(D167+6,4,4,TRUE,"Motorcycle"))</f>
        <v>52.00251695729056</v>
      </c>
      <c r="E178" s="56">
        <f ca="1">INDIRECT(ADDRESS(D167+6,5,4,TRUE,"Motorcycle"))</f>
        <v>53.935598319994213</v>
      </c>
      <c r="F178" s="56">
        <f ca="1">INDIRECT(ADDRESS(D167+6,6,4,TRUE,"Motorcycle"))</f>
        <v>55.712248212767172</v>
      </c>
      <c r="G178" s="56">
        <f ca="1">INDIRECT(ADDRESS($D167+6,7,4,TRUE,"Motorcycle"))</f>
        <v>60.045683744487782</v>
      </c>
      <c r="H178" s="56">
        <f ca="1">INDIRECT(ADDRESS($D167+6,8,4,TRUE,"Motorcycle"))</f>
        <v>57.936037287034118</v>
      </c>
      <c r="I178" s="56">
        <f ca="1">INDIRECT(ADDRESS(D167+6,9,4,TRUE,"Motorcycle"))</f>
        <v>59.883356961998771</v>
      </c>
      <c r="J178" s="56">
        <f ca="1">INDIRECT(ADDRESS(D167+6,10,4,TRUE,"Motorcycle"))</f>
        <v>64.442954821198498</v>
      </c>
      <c r="K178" s="56">
        <f ca="1">INDIRECT(ADDRESS(D167+6,11,4,TRUE,"Motorcycle"))</f>
        <v>67.312321492723626</v>
      </c>
      <c r="L178" s="56">
        <f ca="1">INDIRECT(ADDRESS(D167+6,12,4,TRUE,"Motorcycle"))</f>
        <v>69.451659836332681</v>
      </c>
      <c r="M178" s="56">
        <f ca="1">INDIRECT(ADDRESS(D167+6,13,4,TRUE,"Motorcycle"))</f>
        <v>70.294118322017695</v>
      </c>
      <c r="N178" s="56">
        <f ca="1">INDIRECT(ADDRESS(D167+6,14,4,TRUE,"Motorcycle"))</f>
        <v>70.728759821025534</v>
      </c>
      <c r="O178" s="56">
        <f ca="1">INDIRECT(ADDRESS(D167+6,15,4,TRUE,"Motorcycle"))</f>
        <v>73.582839788343875</v>
      </c>
      <c r="P178" s="56">
        <f ca="1">INDIRECT(ADDRESS(D167+6,16,4,TRUE,"Motorcycle"))</f>
        <v>76.317931685493889</v>
      </c>
      <c r="Q178" s="57">
        <f ca="1">INDIRECT(ADDRESS(D167+6,17,4,TRUE,"Motorcycle"))</f>
        <v>78.994060919578118</v>
      </c>
    </row>
    <row r="179" spans="3:17" ht="16.5" thickTop="1" thickBot="1" x14ac:dyDescent="0.4">
      <c r="C179" s="31" t="s">
        <v>45</v>
      </c>
      <c r="D179" s="61">
        <f ca="1">SUM(D172:D178)</f>
        <v>5283.443051128831</v>
      </c>
      <c r="E179" s="62">
        <f t="shared" ref="E179:Q179" ca="1" si="16">SUM(E172:E178)</f>
        <v>5579.8030869436734</v>
      </c>
      <c r="F179" s="62">
        <f t="shared" ca="1" si="16"/>
        <v>5861.4093487973969</v>
      </c>
      <c r="G179" s="62">
        <f t="shared" ca="1" si="16"/>
        <v>6211.0460339385772</v>
      </c>
      <c r="H179" s="62">
        <f t="shared" ca="1" si="16"/>
        <v>6271.9855690169943</v>
      </c>
      <c r="I179" s="62">
        <f t="shared" ca="1" si="16"/>
        <v>6646.1861015676504</v>
      </c>
      <c r="J179" s="62">
        <f t="shared" ca="1" si="16"/>
        <v>7328.7184190628259</v>
      </c>
      <c r="K179" s="62">
        <f t="shared" ca="1" si="16"/>
        <v>7918.4523758120513</v>
      </c>
      <c r="L179" s="62">
        <f t="shared" ca="1" si="16"/>
        <v>8491.3054160828069</v>
      </c>
      <c r="M179" s="62">
        <f t="shared" ca="1" si="16"/>
        <v>9027.3334748536035</v>
      </c>
      <c r="N179" s="62">
        <f t="shared" ca="1" si="16"/>
        <v>9574.8266642867948</v>
      </c>
      <c r="O179" s="62">
        <f t="shared" ca="1" si="16"/>
        <v>10143.18582579105</v>
      </c>
      <c r="P179" s="62">
        <f t="shared" ca="1" si="16"/>
        <v>10710.612625310343</v>
      </c>
      <c r="Q179" s="63">
        <f t="shared" ca="1" si="16"/>
        <v>11270.189295233627</v>
      </c>
    </row>
    <row r="180" spans="3:17" ht="13" thickTop="1" x14ac:dyDescent="0.25">
      <c r="L180"/>
      <c r="N180" s="121"/>
    </row>
    <row r="181" spans="3:17" ht="13" thickBot="1" x14ac:dyDescent="0.3">
      <c r="L181"/>
      <c r="N181" s="121"/>
    </row>
    <row r="182" spans="3:17" ht="16.5" thickTop="1" thickBot="1" x14ac:dyDescent="0.4">
      <c r="C182" s="180" t="str">
        <f ca="1">INDIRECT(ADDRESS(D182+6,3,4,TRUE,"Car+SUV"))</f>
        <v>Otago</v>
      </c>
      <c r="D182" s="182">
        <v>13</v>
      </c>
      <c r="E182" t="s">
        <v>170</v>
      </c>
      <c r="L182"/>
      <c r="N182" s="121"/>
    </row>
    <row r="183" spans="3:17" ht="13.5" thickTop="1" thickBot="1" x14ac:dyDescent="0.3">
      <c r="L183"/>
      <c r="N183" s="121"/>
    </row>
    <row r="184" spans="3:17" ht="16" thickTop="1" x14ac:dyDescent="0.35">
      <c r="C184" s="32" t="s">
        <v>47</v>
      </c>
      <c r="D184" s="33"/>
      <c r="E184" s="33"/>
      <c r="F184" s="33"/>
      <c r="G184" s="33"/>
      <c r="H184" s="33"/>
      <c r="I184" s="33"/>
      <c r="J184" s="34"/>
      <c r="K184" s="34"/>
      <c r="L184" s="34"/>
      <c r="M184" s="34"/>
      <c r="N184" s="34"/>
      <c r="O184" s="34"/>
      <c r="P184" s="34"/>
      <c r="Q184" s="35"/>
    </row>
    <row r="185" spans="3:17" ht="13.5" thickBot="1" x14ac:dyDescent="0.35">
      <c r="C185" s="36"/>
      <c r="D185" s="37" t="s">
        <v>25</v>
      </c>
      <c r="E185" s="37" t="s">
        <v>37</v>
      </c>
      <c r="F185" s="37" t="s">
        <v>38</v>
      </c>
      <c r="G185" s="37" t="s">
        <v>177</v>
      </c>
      <c r="H185" s="37" t="s">
        <v>178</v>
      </c>
      <c r="I185" s="37" t="s">
        <v>26</v>
      </c>
      <c r="J185" s="37" t="s">
        <v>27</v>
      </c>
      <c r="K185" s="37" t="s">
        <v>28</v>
      </c>
      <c r="L185" s="37" t="s">
        <v>29</v>
      </c>
      <c r="M185" s="37" t="s">
        <v>30</v>
      </c>
      <c r="N185" s="37" t="s">
        <v>31</v>
      </c>
      <c r="O185" s="37" t="s">
        <v>174</v>
      </c>
      <c r="P185" s="37" t="s">
        <v>175</v>
      </c>
      <c r="Q185" s="38" t="s">
        <v>176</v>
      </c>
    </row>
    <row r="186" spans="3:17" ht="14" thickTop="1" thickBot="1" x14ac:dyDescent="0.35">
      <c r="C186" s="70"/>
      <c r="D186" s="71" t="s">
        <v>39</v>
      </c>
      <c r="E186" s="65" t="s">
        <v>39</v>
      </c>
      <c r="F186" s="65" t="s">
        <v>39</v>
      </c>
      <c r="G186" s="65" t="s">
        <v>39</v>
      </c>
      <c r="H186" s="65" t="s">
        <v>39</v>
      </c>
      <c r="I186" s="65" t="s">
        <v>39</v>
      </c>
      <c r="J186" s="65" t="s">
        <v>32</v>
      </c>
      <c r="K186" s="65" t="s">
        <v>32</v>
      </c>
      <c r="L186" s="65" t="s">
        <v>32</v>
      </c>
      <c r="M186" s="65" t="s">
        <v>32</v>
      </c>
      <c r="N186" s="65" t="s">
        <v>32</v>
      </c>
      <c r="O186" s="65" t="s">
        <v>32</v>
      </c>
      <c r="P186" s="65" t="s">
        <v>32</v>
      </c>
      <c r="Q186" s="66" t="s">
        <v>32</v>
      </c>
    </row>
    <row r="187" spans="3:17" ht="16" thickTop="1" x14ac:dyDescent="0.35">
      <c r="C187" s="24" t="s">
        <v>113</v>
      </c>
      <c r="D187" s="55">
        <f ca="1">INDIRECT(ADDRESS(D182+6,4,4,TRUE,"Car+SUV"))-D189</f>
        <v>1549.1034063658033</v>
      </c>
      <c r="E187" s="53">
        <f ca="1">INDIRECT(ADDRESS(D182+6,5,4,TRUE,"Car+SUV"))-E189</f>
        <v>1599.9759565561201</v>
      </c>
      <c r="F187" s="53">
        <f ca="1">INDIRECT(ADDRESS(D182+6,6,4,TRUE,"Car+SUV"))-F189</f>
        <v>1644.1359402634691</v>
      </c>
      <c r="G187" s="53">
        <f ca="1">INDIRECT(ADDRESS($D182+6,7,4,TRUE,"Car+SUV"))-G189</f>
        <v>1712.7748005874105</v>
      </c>
      <c r="H187" s="53">
        <f ca="1">INDIRECT(ADDRESS($D182+6,8,4,TRUE,"Car+SUV"))-H189</f>
        <v>1795.3566491103743</v>
      </c>
      <c r="I187" s="53">
        <f ca="1">INDIRECT(ADDRESS(D182+6,9,4,TRUE,"Car+SUV"))-I189</f>
        <v>1969.9159862216309</v>
      </c>
      <c r="J187" s="53">
        <f ca="1">INDIRECT(ADDRESS(D182+6,10,4,TRUE,"Car+SUV"))-J189</f>
        <v>2149.1122002100738</v>
      </c>
      <c r="K187" s="53">
        <f ca="1">INDIRECT(ADDRESS(D182+6,11,4,TRUE,"Car+SUV"))-K189</f>
        <v>2115.9836157266741</v>
      </c>
      <c r="L187" s="53">
        <f ca="1">INDIRECT(ADDRESS(D182+6,12,4,TRUE,"Car+SUV"))-L189</f>
        <v>2057.3524766883393</v>
      </c>
      <c r="M187" s="53">
        <f ca="1">INDIRECT(ADDRESS(D182+6,13,4,TRUE,"Car+SUV"))-M189</f>
        <v>1969.6724485384957</v>
      </c>
      <c r="N187" s="53">
        <f ca="1">INDIRECT(ADDRESS(D182+6,14,4,TRUE,"Car+SUV"))-N189</f>
        <v>1869.4474370572848</v>
      </c>
      <c r="O187" s="53">
        <f ca="1">INDIRECT(ADDRESS(D182+6,15,4,TRUE,"Car+SUV"))-O189</f>
        <v>1760.4581205422751</v>
      </c>
      <c r="P187" s="53">
        <f ca="1">INDIRECT(ADDRESS(D182+6,16,4,TRUE,"Car+SUV"))-P189</f>
        <v>1638.3634300880296</v>
      </c>
      <c r="Q187" s="54">
        <f ca="1">INDIRECT(ADDRESS(D182+6,17,4,TRUE,"Car+SUV"))-Q189</f>
        <v>1502.6691422400866</v>
      </c>
    </row>
    <row r="188" spans="3:17" ht="15.5" x14ac:dyDescent="0.35">
      <c r="C188" s="24" t="s">
        <v>114</v>
      </c>
      <c r="D188" s="55">
        <f ca="1">INDIRECT(ADDRESS(D182+6,4,4,TRUE,"Van+Ute"))-D190</f>
        <v>371.14341640859396</v>
      </c>
      <c r="E188" s="56">
        <f ca="1">INDIRECT(ADDRESS(D182+6,5,4,TRUE,"Van+Ute"))-E190</f>
        <v>392.44272275523053</v>
      </c>
      <c r="F188" s="56">
        <f ca="1">INDIRECT(ADDRESS(D182+6,6,4,TRUE,"Van+Ute"))-F190</f>
        <v>423.68723925387201</v>
      </c>
      <c r="G188" s="56">
        <f ca="1">INDIRECT(ADDRESS($D182+6,7,4,TRUE,"Van+Ute"))-G190</f>
        <v>450.85608276194347</v>
      </c>
      <c r="H188" s="56">
        <f ca="1">INDIRECT(ADDRESS($D182+6,8,4,TRUE,"Van+Ute"))-H190</f>
        <v>470.35679769540582</v>
      </c>
      <c r="I188" s="56">
        <f ca="1">INDIRECT(ADDRESS(D182+6,9,4,TRUE,"Van+Ute"))-I190</f>
        <v>510.95552062738886</v>
      </c>
      <c r="J188" s="56">
        <f ca="1">INDIRECT(ADDRESS(D182+6,10,4,TRUE,"Van+Ute"))-J190</f>
        <v>573.26343713945664</v>
      </c>
      <c r="K188" s="56">
        <f ca="1">INDIRECT(ADDRESS(D182+6,11,4,TRUE,"Van+Ute"))-K190</f>
        <v>599.39950537304048</v>
      </c>
      <c r="L188" s="56">
        <f ca="1">INDIRECT(ADDRESS(D182+6,12,4,TRUE,"Van+Ute"))-L190</f>
        <v>622.36130247534493</v>
      </c>
      <c r="M188" s="56">
        <f ca="1">INDIRECT(ADDRESS(D182+6,13,4,TRUE,"Van+Ute"))-M190</f>
        <v>643.36442432081446</v>
      </c>
      <c r="N188" s="56">
        <f ca="1">INDIRECT(ADDRESS(D182+6,14,4,TRUE,"Van+Ute"))-N190</f>
        <v>666.34086927414523</v>
      </c>
      <c r="O188" s="56">
        <f ca="1">INDIRECT(ADDRESS(D182+6,15,4,TRUE,"Van+Ute"))-O190</f>
        <v>691.05567114655128</v>
      </c>
      <c r="P188" s="56">
        <f ca="1">INDIRECT(ADDRESS(D182+6,16,4,TRUE,"Van+Ute"))-P190</f>
        <v>714.47554087527965</v>
      </c>
      <c r="Q188" s="57">
        <f ca="1">INDIRECT(ADDRESS(D182+6,17,4,TRUE,"Van+Ute"))-Q190</f>
        <v>734.95412430987199</v>
      </c>
    </row>
    <row r="189" spans="3:17" ht="15.5" x14ac:dyDescent="0.35">
      <c r="C189" s="24" t="s">
        <v>115</v>
      </c>
      <c r="D189" s="55">
        <f ca="1">INDIRECT(ADDRESS(D182+130,4,4,TRUE,"Car+SUV"))</f>
        <v>17.766310419074774</v>
      </c>
      <c r="E189" s="56">
        <f ca="1">INDIRECT(ADDRESS(D182+130,5,4,TRUE,"Car+SUV"))</f>
        <v>18.072894877182335</v>
      </c>
      <c r="F189" s="56">
        <f ca="1">INDIRECT(ADDRESS(D182+130,6,4,TRUE,"Car+SUV"))</f>
        <v>18.185270146652563</v>
      </c>
      <c r="G189" s="56">
        <f ca="1">INDIRECT(ADDRESS($D182+130,7,4,TRUE,"Car+SUV"))</f>
        <v>18.159673241310536</v>
      </c>
      <c r="H189" s="56">
        <f ca="1">INDIRECT(ADDRESS($D182+130,8,4,TRUE,"Car+SUV"))</f>
        <v>20.602668986680616</v>
      </c>
      <c r="I189" s="56">
        <f ca="1">INDIRECT(ADDRESS(D182+130,9,4,TRUE,"Car+SUV"))</f>
        <v>16.712466700272337</v>
      </c>
      <c r="J189" s="56">
        <f ca="1">INDIRECT(ADDRESS(D182+130,10,4,TRUE,"Car+SUV"))</f>
        <v>19.918813623770909</v>
      </c>
      <c r="K189" s="56">
        <f ca="1">INDIRECT(ADDRESS(D182+130,11,4,TRUE,"Car+SUV"))</f>
        <v>208.01777239357426</v>
      </c>
      <c r="L189" s="56">
        <f ca="1">INDIRECT(ADDRESS(D182+130,12,4,TRUE,"Car+SUV"))</f>
        <v>414.57132079464623</v>
      </c>
      <c r="M189" s="56">
        <f ca="1">INDIRECT(ADDRESS(D182+130,13,4,TRUE,"Car+SUV"))</f>
        <v>633.34957604484043</v>
      </c>
      <c r="N189" s="56">
        <f ca="1">INDIRECT(ADDRESS(D182+130,14,4,TRUE,"Car+SUV"))</f>
        <v>863.57429558102649</v>
      </c>
      <c r="O189" s="56">
        <f ca="1">INDIRECT(ADDRESS(D182+130,15,4,TRUE,"Car+SUV"))</f>
        <v>1105.19996267739</v>
      </c>
      <c r="P189" s="56">
        <f ca="1">INDIRECT(ADDRESS(D182+130,16,4,TRUE,"Car+SUV"))</f>
        <v>1356.306983150426</v>
      </c>
      <c r="Q189" s="57">
        <f ca="1">INDIRECT(ADDRESS(D182+130,17,4,TRUE,"Car+SUV"))</f>
        <v>1616.6929227431117</v>
      </c>
    </row>
    <row r="190" spans="3:17" ht="15.5" x14ac:dyDescent="0.35">
      <c r="C190" s="24" t="s">
        <v>116</v>
      </c>
      <c r="D190" s="55">
        <f ca="1">INDIRECT(ADDRESS(D182+130,4,4,TRUE,"Van+Ute"))</f>
        <v>8.8852847822872576</v>
      </c>
      <c r="E190" s="56">
        <f ca="1">INDIRECT(ADDRESS(D182+130,5,4,TRUE,"Van+Ute"))</f>
        <v>9.4565840599050173</v>
      </c>
      <c r="F190" s="56">
        <f ca="1">INDIRECT(ADDRESS(D182+130,6,4,TRUE,"Van+Ute"))</f>
        <v>9.9130153199018984</v>
      </c>
      <c r="G190" s="56">
        <f ca="1">INDIRECT(ADDRESS($D182+130,7,4,TRUE,"Van+Ute"))</f>
        <v>10.181114355663841</v>
      </c>
      <c r="H190" s="56">
        <f ca="1">INDIRECT(ADDRESS($D182+130,8,4,TRUE,"Van+Ute"))</f>
        <v>11.211403017097737</v>
      </c>
      <c r="I190" s="56">
        <f ca="1">INDIRECT(ADDRESS(D182+130,9,4,TRUE,"Van+Ute"))</f>
        <v>8.7750678003636775</v>
      </c>
      <c r="J190" s="56">
        <f ca="1">INDIRECT(ADDRESS(D182+130,10,4,TRUE,"Van+Ute"))</f>
        <v>10.458596159748769</v>
      </c>
      <c r="K190" s="56">
        <f ca="1">INDIRECT(ADDRESS(D182+130,11,4,TRUE,"Van+Ute"))</f>
        <v>40.554401001300683</v>
      </c>
      <c r="L190" s="56">
        <f ca="1">INDIRECT(ADDRESS(D182+130,12,4,TRUE,"Van+Ute"))</f>
        <v>73.487790983829342</v>
      </c>
      <c r="M190" s="56">
        <f ca="1">INDIRECT(ADDRESS(D182+130,13,4,TRUE,"Van+Ute"))</f>
        <v>108.32608353702608</v>
      </c>
      <c r="N190" s="56">
        <f ca="1">INDIRECT(ADDRESS(D182+130,14,4,TRUE,"Van+Ute"))</f>
        <v>145.04231542926343</v>
      </c>
      <c r="O190" s="56">
        <f ca="1">INDIRECT(ADDRESS(D182+130,15,4,TRUE,"Van+Ute"))</f>
        <v>183.45355569087454</v>
      </c>
      <c r="P190" s="56">
        <f ca="1">INDIRECT(ADDRESS(D182+130,16,4,TRUE,"Van+Ute"))</f>
        <v>223.43596537474176</v>
      </c>
      <c r="Q190" s="57">
        <f ca="1">INDIRECT(ADDRESS(D182+130,17,4,TRUE,"Van+Ute"))</f>
        <v>264.97128389600988</v>
      </c>
    </row>
    <row r="191" spans="3:17" ht="15.5" x14ac:dyDescent="0.35">
      <c r="C191" s="24" t="s">
        <v>43</v>
      </c>
      <c r="D191" s="55">
        <f ca="1">INDIRECT(ADDRESS(D182+6,4,4,TRUE,"Heavy Truck"))</f>
        <v>135.01202074409633</v>
      </c>
      <c r="E191" s="56">
        <f ca="1">INDIRECT(ADDRESS(D182+6,5,4,TRUE,"Heavy Truck"))</f>
        <v>139.58455031725936</v>
      </c>
      <c r="F191" s="56">
        <f ca="1">INDIRECT(ADDRESS(D182+6,6,4,TRUE,"Heavy Truck"))</f>
        <v>147.91666617185348</v>
      </c>
      <c r="G191" s="56">
        <f ca="1">INDIRECT(ADDRESS($D182+6,7,4,TRUE,"Heavy Truck"))</f>
        <v>149.29002963131651</v>
      </c>
      <c r="H191" s="56">
        <f ca="1">INDIRECT(ADDRESS($D182+6,8,4,TRUE,"Heavy Truck"))</f>
        <v>150.45720998322528</v>
      </c>
      <c r="I191" s="56">
        <f ca="1">INDIRECT(ADDRESS(D182+6,9,4,TRUE,"Heavy Truck"))</f>
        <v>180.6775115923906</v>
      </c>
      <c r="J191" s="56">
        <f ca="1">INDIRECT(ADDRESS(D182+6,10,4,TRUE,"Heavy Truck"))</f>
        <v>201.40983127052516</v>
      </c>
      <c r="K191" s="56">
        <f ca="1">INDIRECT(ADDRESS(D182+6,11,4,TRUE,"Heavy Truck"))</f>
        <v>208.17160616018219</v>
      </c>
      <c r="L191" s="56">
        <f ca="1">INDIRECT(ADDRESS(D182+6,12,4,TRUE,"Heavy Truck"))</f>
        <v>214.47812905270058</v>
      </c>
      <c r="M191" s="56">
        <f ca="1">INDIRECT(ADDRESS(D182+6,13,4,TRUE,"Heavy Truck"))</f>
        <v>216.52934084689073</v>
      </c>
      <c r="N191" s="56">
        <f ca="1">INDIRECT(ADDRESS(D182+6,14,4,TRUE,"Heavy Truck"))</f>
        <v>218.34940940391769</v>
      </c>
      <c r="O191" s="56">
        <f ca="1">INDIRECT(ADDRESS(D182+6,15,4,TRUE,"Heavy Truck"))</f>
        <v>220.8830833252527</v>
      </c>
      <c r="P191" s="56">
        <f ca="1">INDIRECT(ADDRESS(D182+6,16,4,TRUE,"Heavy Truck"))</f>
        <v>223.15950023590028</v>
      </c>
      <c r="Q191" s="57">
        <f ca="1">INDIRECT(ADDRESS(D182+6,17,4,TRUE,"Heavy Truck"))</f>
        <v>225.18979533564931</v>
      </c>
    </row>
    <row r="192" spans="3:17" ht="15.5" x14ac:dyDescent="0.35">
      <c r="C192" s="24" t="s">
        <v>44</v>
      </c>
      <c r="D192" s="55">
        <f ca="1">INDIRECT(ADDRESS(D182+6,4,4,TRUE,"Heavy Bus"))</f>
        <v>18.743958770408213</v>
      </c>
      <c r="E192" s="56">
        <f ca="1">INDIRECT(ADDRESS(D182+6,5,4,TRUE,"Heavy Bus"))</f>
        <v>19.524385446445841</v>
      </c>
      <c r="F192" s="56">
        <f ca="1">INDIRECT(ADDRESS(D182+6,6,4,TRUE,"Heavy Bus"))</f>
        <v>20.014483270765375</v>
      </c>
      <c r="G192" s="56">
        <f ca="1">INDIRECT(ADDRESS($D182+6,7,4,TRUE,"Heavy Bus"))</f>
        <v>19.622089713548924</v>
      </c>
      <c r="H192" s="56">
        <f ca="1">INDIRECT(ADDRESS($D182+6,8,4,TRUE,"Heavy Bus"))</f>
        <v>21.073427945817279</v>
      </c>
      <c r="I192" s="56">
        <f ca="1">INDIRECT(ADDRESS(D182+6,9,4,TRUE,"Heavy Bus"))</f>
        <v>19.331947513340477</v>
      </c>
      <c r="J192" s="56">
        <f ca="1">INDIRECT(ADDRESS(D182+6,10,4,TRUE,"Heavy Bus"))</f>
        <v>23.284953108114916</v>
      </c>
      <c r="K192" s="56">
        <f ca="1">INDIRECT(ADDRESS(D182+6,11,4,TRUE,"Heavy Bus"))</f>
        <v>26.667161747626693</v>
      </c>
      <c r="L192" s="56">
        <f ca="1">INDIRECT(ADDRESS(D182+6,12,4,TRUE,"Heavy Bus"))</f>
        <v>29.975279278206791</v>
      </c>
      <c r="M192" s="56">
        <f ca="1">INDIRECT(ADDRESS(D182+6,13,4,TRUE,"Heavy Bus"))</f>
        <v>33.868197197323475</v>
      </c>
      <c r="N192" s="56">
        <f ca="1">INDIRECT(ADDRESS(D182+6,14,4,TRUE,"Heavy Bus"))</f>
        <v>38.363358373911922</v>
      </c>
      <c r="O192" s="56">
        <f ca="1">INDIRECT(ADDRESS(D182+6,15,4,TRUE,"Heavy Bus"))</f>
        <v>43.786107122090428</v>
      </c>
      <c r="P192" s="56">
        <f ca="1">INDIRECT(ADDRESS(D182+6,16,4,TRUE,"Heavy Bus"))</f>
        <v>50.033705541262712</v>
      </c>
      <c r="Q192" s="57">
        <f ca="1">INDIRECT(ADDRESS(D182+6,17,4,TRUE,"Heavy Bus"))</f>
        <v>57.244321583331178</v>
      </c>
    </row>
    <row r="193" spans="3:17" ht="16" thickBot="1" x14ac:dyDescent="0.4">
      <c r="C193" s="24" t="s">
        <v>42</v>
      </c>
      <c r="D193" s="55">
        <f ca="1">INDIRECT(ADDRESS(D182+6,4,4,TRUE,"Motorcycle"))</f>
        <v>19.627457343040088</v>
      </c>
      <c r="E193" s="56">
        <f ca="1">INDIRECT(ADDRESS(D182+6,5,4,TRUE,"Motorcycle"))</f>
        <v>20.264450172404157</v>
      </c>
      <c r="F193" s="56">
        <f ca="1">INDIRECT(ADDRESS(D182+6,6,4,TRUE,"Motorcycle"))</f>
        <v>20.487101994423131</v>
      </c>
      <c r="G193" s="56">
        <f ca="1">INDIRECT(ADDRESS($D182+6,7,4,TRUE,"Motorcycle"))</f>
        <v>21.306066673350525</v>
      </c>
      <c r="H193" s="56">
        <f ca="1">INDIRECT(ADDRESS($D182+6,8,4,TRUE,"Motorcycle"))</f>
        <v>19.901364309339975</v>
      </c>
      <c r="I193" s="56">
        <f ca="1">INDIRECT(ADDRESS(D182+6,9,4,TRUE,"Motorcycle"))</f>
        <v>17.630815732679078</v>
      </c>
      <c r="J193" s="56">
        <f ca="1">INDIRECT(ADDRESS(D182+6,10,4,TRUE,"Motorcycle"))</f>
        <v>18.922388164644591</v>
      </c>
      <c r="K193" s="56">
        <f ca="1">INDIRECT(ADDRESS(D182+6,11,4,TRUE,"Motorcycle"))</f>
        <v>19.667314102455492</v>
      </c>
      <c r="L193" s="56">
        <f ca="1">INDIRECT(ADDRESS(D182+6,12,4,TRUE,"Motorcycle"))</f>
        <v>20.198049001490979</v>
      </c>
      <c r="M193" s="56">
        <f ca="1">INDIRECT(ADDRESS(D182+6,13,4,TRUE,"Motorcycle"))</f>
        <v>20.340322546175791</v>
      </c>
      <c r="N193" s="56">
        <f ca="1">INDIRECT(ADDRESS(D182+6,14,4,TRUE,"Motorcycle"))</f>
        <v>20.369868317266128</v>
      </c>
      <c r="O193" s="56">
        <f ca="1">INDIRECT(ADDRESS(D182+6,15,4,TRUE,"Motorcycle"))</f>
        <v>21.091138883468808</v>
      </c>
      <c r="P193" s="56">
        <f ca="1">INDIRECT(ADDRESS(D182+6,16,4,TRUE,"Motorcycle"))</f>
        <v>21.770205996396058</v>
      </c>
      <c r="Q193" s="57">
        <f ca="1">INDIRECT(ADDRESS(D182+6,17,4,TRUE,"Motorcycle"))</f>
        <v>22.424721650725971</v>
      </c>
    </row>
    <row r="194" spans="3:17" ht="16.5" thickTop="1" thickBot="1" x14ac:dyDescent="0.4">
      <c r="C194" s="31" t="s">
        <v>45</v>
      </c>
      <c r="D194" s="61">
        <f ca="1">SUM(D187:D193)</f>
        <v>2120.2818548333039</v>
      </c>
      <c r="E194" s="62">
        <f t="shared" ref="E194:Q194" ca="1" si="17">SUM(E187:E193)</f>
        <v>2199.3215441845468</v>
      </c>
      <c r="F194" s="62">
        <f t="shared" ca="1" si="17"/>
        <v>2284.3397164209382</v>
      </c>
      <c r="G194" s="62">
        <f t="shared" ca="1" si="17"/>
        <v>2382.1898569645441</v>
      </c>
      <c r="H194" s="62">
        <f t="shared" ca="1" si="17"/>
        <v>2488.9595210479415</v>
      </c>
      <c r="I194" s="62">
        <f t="shared" ca="1" si="17"/>
        <v>2723.9993161880652</v>
      </c>
      <c r="J194" s="62">
        <f t="shared" ca="1" si="17"/>
        <v>2996.3702196763343</v>
      </c>
      <c r="K194" s="62">
        <f t="shared" ca="1" si="17"/>
        <v>3218.4613765048543</v>
      </c>
      <c r="L194" s="62">
        <f t="shared" ca="1" si="17"/>
        <v>3432.4243482745587</v>
      </c>
      <c r="M194" s="62">
        <f t="shared" ca="1" si="17"/>
        <v>3625.4503930315664</v>
      </c>
      <c r="N194" s="62">
        <f t="shared" ca="1" si="17"/>
        <v>3821.4875534368161</v>
      </c>
      <c r="O194" s="62">
        <f t="shared" ca="1" si="17"/>
        <v>4025.9276393879027</v>
      </c>
      <c r="P194" s="62">
        <f t="shared" ca="1" si="17"/>
        <v>4227.5453312620366</v>
      </c>
      <c r="Q194" s="63">
        <f t="shared" ca="1" si="17"/>
        <v>4424.1463117587855</v>
      </c>
    </row>
    <row r="195" spans="3:17" ht="13" thickTop="1" x14ac:dyDescent="0.25">
      <c r="L195"/>
      <c r="N195" s="121"/>
    </row>
    <row r="196" spans="3:17" ht="13" thickBot="1" x14ac:dyDescent="0.3">
      <c r="L196"/>
      <c r="N196" s="121"/>
    </row>
    <row r="197" spans="3:17" ht="16.5" thickTop="1" thickBot="1" x14ac:dyDescent="0.4">
      <c r="C197" s="180" t="str">
        <f ca="1">INDIRECT(ADDRESS(D197+6,3,4,TRUE,"Car+SUV"))</f>
        <v>Southland</v>
      </c>
      <c r="D197" s="182">
        <v>14</v>
      </c>
      <c r="E197" t="s">
        <v>170</v>
      </c>
      <c r="L197"/>
      <c r="N197" s="121"/>
    </row>
    <row r="198" spans="3:17" ht="13.5" thickTop="1" thickBot="1" x14ac:dyDescent="0.3">
      <c r="L198"/>
      <c r="N198" s="121"/>
    </row>
    <row r="199" spans="3:17" ht="16" thickTop="1" x14ac:dyDescent="0.35">
      <c r="C199" s="32" t="s">
        <v>47</v>
      </c>
      <c r="D199" s="33"/>
      <c r="E199" s="33"/>
      <c r="F199" s="33"/>
      <c r="G199" s="33"/>
      <c r="H199" s="33"/>
      <c r="I199" s="33"/>
      <c r="J199" s="34"/>
      <c r="K199" s="34"/>
      <c r="L199" s="34"/>
      <c r="M199" s="34"/>
      <c r="N199" s="34"/>
      <c r="O199" s="34"/>
      <c r="P199" s="34"/>
      <c r="Q199" s="35"/>
    </row>
    <row r="200" spans="3:17" ht="13.5" thickBot="1" x14ac:dyDescent="0.35">
      <c r="C200" s="36"/>
      <c r="D200" s="37" t="s">
        <v>25</v>
      </c>
      <c r="E200" s="37" t="s">
        <v>37</v>
      </c>
      <c r="F200" s="37" t="s">
        <v>38</v>
      </c>
      <c r="G200" s="37" t="s">
        <v>177</v>
      </c>
      <c r="H200" s="37" t="s">
        <v>178</v>
      </c>
      <c r="I200" s="37" t="s">
        <v>26</v>
      </c>
      <c r="J200" s="37" t="s">
        <v>27</v>
      </c>
      <c r="K200" s="37" t="s">
        <v>28</v>
      </c>
      <c r="L200" s="37" t="s">
        <v>29</v>
      </c>
      <c r="M200" s="37" t="s">
        <v>30</v>
      </c>
      <c r="N200" s="37" t="s">
        <v>31</v>
      </c>
      <c r="O200" s="37" t="s">
        <v>174</v>
      </c>
      <c r="P200" s="37" t="s">
        <v>175</v>
      </c>
      <c r="Q200" s="38" t="s">
        <v>176</v>
      </c>
    </row>
    <row r="201" spans="3:17" ht="14" thickTop="1" thickBot="1" x14ac:dyDescent="0.35">
      <c r="C201" s="70"/>
      <c r="D201" s="71" t="s">
        <v>39</v>
      </c>
      <c r="E201" s="65" t="s">
        <v>39</v>
      </c>
      <c r="F201" s="65" t="s">
        <v>39</v>
      </c>
      <c r="G201" s="65" t="s">
        <v>39</v>
      </c>
      <c r="H201" s="65" t="s">
        <v>39</v>
      </c>
      <c r="I201" s="65" t="s">
        <v>39</v>
      </c>
      <c r="J201" s="65" t="s">
        <v>32</v>
      </c>
      <c r="K201" s="65" t="s">
        <v>32</v>
      </c>
      <c r="L201" s="65" t="s">
        <v>32</v>
      </c>
      <c r="M201" s="65" t="s">
        <v>32</v>
      </c>
      <c r="N201" s="65" t="s">
        <v>32</v>
      </c>
      <c r="O201" s="65" t="s">
        <v>32</v>
      </c>
      <c r="P201" s="65" t="s">
        <v>32</v>
      </c>
      <c r="Q201" s="66" t="s">
        <v>32</v>
      </c>
    </row>
    <row r="202" spans="3:17" ht="16" thickTop="1" x14ac:dyDescent="0.35">
      <c r="C202" s="24" t="s">
        <v>113</v>
      </c>
      <c r="D202" s="55">
        <f ca="1">INDIRECT(ADDRESS(D197+6,4,4,TRUE,"Car+SUV"))-D204</f>
        <v>738.63755073323932</v>
      </c>
      <c r="E202" s="53">
        <f ca="1">INDIRECT(ADDRESS(D197+6,5,4,TRUE,"Car+SUV"))-E204</f>
        <v>751.20535543602603</v>
      </c>
      <c r="F202" s="53">
        <f ca="1">INDIRECT(ADDRESS(D197+6,6,4,TRUE,"Car+SUV"))-F204</f>
        <v>719.39840309846579</v>
      </c>
      <c r="G202" s="53">
        <f ca="1">INDIRECT(ADDRESS($D197+6,7,4,TRUE,"Car+SUV"))-G204</f>
        <v>806.28727991360029</v>
      </c>
      <c r="H202" s="53">
        <f ca="1">INDIRECT(ADDRESS($D197+6,8,4,TRUE,"Car+SUV"))-H204</f>
        <v>821.6016174238207</v>
      </c>
      <c r="I202" s="53">
        <f ca="1">INDIRECT(ADDRESS(D197+6,9,4,TRUE,"Car+SUV"))-I204</f>
        <v>837.52623055473168</v>
      </c>
      <c r="J202" s="53">
        <f ca="1">INDIRECT(ADDRESS(D197+6,10,4,TRUE,"Car+SUV"))-J204</f>
        <v>855.48549321625364</v>
      </c>
      <c r="K202" s="53">
        <f ca="1">INDIRECT(ADDRESS(D197+6,11,4,TRUE,"Car+SUV"))-K204</f>
        <v>798.21668047148785</v>
      </c>
      <c r="L202" s="53">
        <f ca="1">INDIRECT(ADDRESS(D197+6,12,4,TRUE,"Car+SUV"))-L204</f>
        <v>735.68269411963558</v>
      </c>
      <c r="M202" s="53">
        <f ca="1">INDIRECT(ADDRESS(D197+6,13,4,TRUE,"Car+SUV"))-M204</f>
        <v>666.46599426502632</v>
      </c>
      <c r="N202" s="53">
        <f ca="1">INDIRECT(ADDRESS(D197+6,14,4,TRUE,"Car+SUV"))-N204</f>
        <v>596.7664349267061</v>
      </c>
      <c r="O202" s="53">
        <f ca="1">INDIRECT(ADDRESS(D197+6,15,4,TRUE,"Car+SUV"))-O204</f>
        <v>527.97885399958545</v>
      </c>
      <c r="P202" s="53">
        <f ca="1">INDIRECT(ADDRESS(D197+6,16,4,TRUE,"Car+SUV"))-P204</f>
        <v>459.4142270571466</v>
      </c>
      <c r="Q202" s="54">
        <f ca="1">INDIRECT(ADDRESS(D197+6,17,4,TRUE,"Car+SUV"))-Q204</f>
        <v>391.44860374976076</v>
      </c>
    </row>
    <row r="203" spans="3:17" ht="15.5" x14ac:dyDescent="0.35">
      <c r="C203" s="24" t="s">
        <v>114</v>
      </c>
      <c r="D203" s="55">
        <f ca="1">INDIRECT(ADDRESS(D197+6,4,4,TRUE,"Van+Ute"))-D205</f>
        <v>237.84146944211935</v>
      </c>
      <c r="E203" s="56">
        <f ca="1">INDIRECT(ADDRESS(D197+6,5,4,TRUE,"Van+Ute"))-E205</f>
        <v>253.13560768494196</v>
      </c>
      <c r="F203" s="56">
        <f ca="1">INDIRECT(ADDRESS(D197+6,6,4,TRUE,"Van+Ute"))-F205</f>
        <v>254.96941306398531</v>
      </c>
      <c r="G203" s="56">
        <f ca="1">INDIRECT(ADDRESS($D197+6,7,4,TRUE,"Van+Ute"))-G205</f>
        <v>289.25472804388829</v>
      </c>
      <c r="H203" s="56">
        <f ca="1">INDIRECT(ADDRESS($D197+6,8,4,TRUE,"Van+Ute"))-H205</f>
        <v>303.32963623517821</v>
      </c>
      <c r="I203" s="56">
        <f ca="1">INDIRECT(ADDRESS(D197+6,9,4,TRUE,"Van+Ute"))-I205</f>
        <v>324.48737823095593</v>
      </c>
      <c r="J203" s="56">
        <f ca="1">INDIRECT(ADDRESS(D197+6,10,4,TRUE,"Van+Ute"))-J205</f>
        <v>340.36535916302876</v>
      </c>
      <c r="K203" s="56">
        <f ca="1">INDIRECT(ADDRESS(D197+6,11,4,TRUE,"Van+Ute"))-K205</f>
        <v>336.53646485540503</v>
      </c>
      <c r="L203" s="56">
        <f ca="1">INDIRECT(ADDRESS(D197+6,12,4,TRUE,"Van+Ute"))-L205</f>
        <v>330.89696330095137</v>
      </c>
      <c r="M203" s="56">
        <f ca="1">INDIRECT(ADDRESS(D197+6,13,4,TRUE,"Van+Ute"))-M205</f>
        <v>323.88182672001153</v>
      </c>
      <c r="N203" s="56">
        <f ca="1">INDIRECT(ADDRESS(D197+6,14,4,TRUE,"Van+Ute"))-N205</f>
        <v>317.48859888709865</v>
      </c>
      <c r="O203" s="56">
        <f ca="1">INDIRECT(ADDRESS(D197+6,15,4,TRUE,"Van+Ute"))-O205</f>
        <v>311.49660295473325</v>
      </c>
      <c r="P203" s="56">
        <f ca="1">INDIRECT(ADDRESS(D197+6,16,4,TRUE,"Van+Ute"))-P205</f>
        <v>304.6658392207151</v>
      </c>
      <c r="Q203" s="57">
        <f ca="1">INDIRECT(ADDRESS(D197+6,17,4,TRUE,"Van+Ute"))-Q205</f>
        <v>296.5044975677871</v>
      </c>
    </row>
    <row r="204" spans="3:17" ht="15.5" x14ac:dyDescent="0.35">
      <c r="C204" s="24" t="s">
        <v>115</v>
      </c>
      <c r="D204" s="55">
        <f ca="1">INDIRECT(ADDRESS(D197+130,4,4,TRUE,"Car+SUV"))</f>
        <v>2.5661029971918534</v>
      </c>
      <c r="E204" s="56">
        <f ca="1">INDIRECT(ADDRESS(D197+130,5,4,TRUE,"Car+SUV"))</f>
        <v>2.5744664490356262</v>
      </c>
      <c r="F204" s="56">
        <f ca="1">INDIRECT(ADDRESS(D197+130,6,4,TRUE,"Car+SUV"))</f>
        <v>2.5363372542740827</v>
      </c>
      <c r="G204" s="56">
        <f ca="1">INDIRECT(ADDRESS($D197+130,7,4,TRUE,"Car+SUV"))</f>
        <v>2.8248514415350829</v>
      </c>
      <c r="H204" s="56">
        <f ca="1">INDIRECT(ADDRESS($D197+130,8,4,TRUE,"Car+SUV"))</f>
        <v>3.0957175275153377</v>
      </c>
      <c r="I204" s="56">
        <f ca="1">INDIRECT(ADDRESS(D197+130,9,4,TRUE,"Car+SUV"))</f>
        <v>3.1564414721785026</v>
      </c>
      <c r="J204" s="56">
        <f ca="1">INDIRECT(ADDRESS(D197+130,10,4,TRUE,"Car+SUV"))</f>
        <v>3.6051065163323481</v>
      </c>
      <c r="K204" s="56">
        <f ca="1">INDIRECT(ADDRESS(D197+130,11,4,TRUE,"Car+SUV"))</f>
        <v>78.727591439680751</v>
      </c>
      <c r="L204" s="56">
        <f ca="1">INDIRECT(ADDRESS(D197+130,12,4,TRUE,"Car+SUV"))</f>
        <v>154.67916080181269</v>
      </c>
      <c r="M204" s="56">
        <f ca="1">INDIRECT(ADDRESS(D197+130,13,4,TRUE,"Car+SUV"))</f>
        <v>228.87459368921998</v>
      </c>
      <c r="N204" s="56">
        <f ca="1">INDIRECT(ADDRESS(D197+130,14,4,TRUE,"Car+SUV"))</f>
        <v>300.8645125012485</v>
      </c>
      <c r="O204" s="56">
        <f ca="1">INDIRECT(ADDRESS(D197+130,15,4,TRUE,"Car+SUV"))</f>
        <v>370.44676443134551</v>
      </c>
      <c r="P204" s="56">
        <f ca="1">INDIRECT(ADDRESS(D197+130,16,4,TRUE,"Car+SUV"))</f>
        <v>436.88247118155755</v>
      </c>
      <c r="Q204" s="57">
        <f ca="1">INDIRECT(ADDRESS(D197+130,17,4,TRUE,"Car+SUV"))</f>
        <v>500.11651433036616</v>
      </c>
    </row>
    <row r="205" spans="3:17" ht="15.5" x14ac:dyDescent="0.35">
      <c r="C205" s="24" t="s">
        <v>116</v>
      </c>
      <c r="D205" s="55">
        <f ca="1">INDIRECT(ADDRESS(D197+130,4,4,TRUE,"Van+Ute"))</f>
        <v>1.9999256891387558</v>
      </c>
      <c r="E205" s="56">
        <f ca="1">INDIRECT(ADDRESS(D197+130,5,4,TRUE,"Van+Ute"))</f>
        <v>1.9867663960138944</v>
      </c>
      <c r="F205" s="56">
        <f ca="1">INDIRECT(ADDRESS(D197+130,6,4,TRUE,"Van+Ute"))</f>
        <v>1.7398331203081547</v>
      </c>
      <c r="G205" s="56">
        <f ca="1">INDIRECT(ADDRESS($D197+130,7,4,TRUE,"Van+Ute"))</f>
        <v>2.1484549810517803</v>
      </c>
      <c r="H205" s="56">
        <f ca="1">INDIRECT(ADDRESS($D197+130,8,4,TRUE,"Van+Ute"))</f>
        <v>2.2566842768752626</v>
      </c>
      <c r="I205" s="56">
        <f ca="1">INDIRECT(ADDRESS(D197+130,9,4,TRUE,"Van+Ute"))</f>
        <v>2.4541520258820388</v>
      </c>
      <c r="J205" s="56">
        <f ca="1">INDIRECT(ADDRESS(D197+130,10,4,TRUE,"Van+Ute"))</f>
        <v>2.802991767330711</v>
      </c>
      <c r="K205" s="56">
        <f ca="1">INDIRECT(ADDRESS(D197+130,11,4,TRUE,"Van+Ute"))</f>
        <v>21.536953500623557</v>
      </c>
      <c r="L205" s="56">
        <f ca="1">INDIRECT(ADDRESS(D197+130,12,4,TRUE,"Van+Ute"))</f>
        <v>40.465204402820419</v>
      </c>
      <c r="M205" s="56">
        <f ca="1">INDIRECT(ADDRESS(D197+130,13,4,TRUE,"Van+Ute"))</f>
        <v>58.96104777975107</v>
      </c>
      <c r="N205" s="56">
        <f ca="1">INDIRECT(ADDRESS(D197+130,14,4,TRUE,"Van+Ute"))</f>
        <v>76.935433205582882</v>
      </c>
      <c r="O205" s="56">
        <f ca="1">INDIRECT(ADDRESS(D197+130,15,4,TRUE,"Van+Ute"))</f>
        <v>94.303110274472147</v>
      </c>
      <c r="P205" s="56">
        <f ca="1">INDIRECT(ADDRESS(D197+130,16,4,TRUE,"Van+Ute"))</f>
        <v>110.92062008037976</v>
      </c>
      <c r="Q205" s="57">
        <f ca="1">INDIRECT(ADDRESS(D197+130,17,4,TRUE,"Van+Ute"))</f>
        <v>126.77879260749521</v>
      </c>
    </row>
    <row r="206" spans="3:17" ht="15.5" x14ac:dyDescent="0.35">
      <c r="C206" s="24" t="s">
        <v>43</v>
      </c>
      <c r="D206" s="55">
        <f ca="1">INDIRECT(ADDRESS(D197+6,4,4,TRUE,"Heavy Truck"))</f>
        <v>96.966901647804377</v>
      </c>
      <c r="E206" s="56">
        <f ca="1">INDIRECT(ADDRESS(D197+6,5,4,TRUE,"Heavy Truck"))</f>
        <v>101.5350793421801</v>
      </c>
      <c r="F206" s="56">
        <f ca="1">INDIRECT(ADDRESS(D197+6,6,4,TRUE,"Heavy Truck"))</f>
        <v>101.18252022580538</v>
      </c>
      <c r="G206" s="56">
        <f ca="1">INDIRECT(ADDRESS($D197+6,7,4,TRUE,"Heavy Truck"))</f>
        <v>113.26364560172489</v>
      </c>
      <c r="H206" s="56">
        <f ca="1">INDIRECT(ADDRESS($D197+6,8,4,TRUE,"Heavy Truck"))</f>
        <v>114.5199435578987</v>
      </c>
      <c r="I206" s="56">
        <f ca="1">INDIRECT(ADDRESS(D197+6,9,4,TRUE,"Heavy Truck"))</f>
        <v>123.34530767264916</v>
      </c>
      <c r="J206" s="56">
        <f ca="1">INDIRECT(ADDRESS(D197+6,10,4,TRUE,"Heavy Truck"))</f>
        <v>134.27486873551163</v>
      </c>
      <c r="K206" s="56">
        <f ca="1">INDIRECT(ADDRESS(D197+6,11,4,TRUE,"Heavy Truck"))</f>
        <v>138.55568037439235</v>
      </c>
      <c r="L206" s="56">
        <f ca="1">INDIRECT(ADDRESS(D197+6,12,4,TRUE,"Heavy Truck"))</f>
        <v>142.54417328479036</v>
      </c>
      <c r="M206" s="56">
        <f ca="1">INDIRECT(ADDRESS(D197+6,13,4,TRUE,"Heavy Truck"))</f>
        <v>140.66266030955617</v>
      </c>
      <c r="N206" s="56">
        <f ca="1">INDIRECT(ADDRESS(D197+6,14,4,TRUE,"Heavy Truck"))</f>
        <v>138.78736028600696</v>
      </c>
      <c r="O206" s="56">
        <f ca="1">INDIRECT(ADDRESS(D197+6,15,4,TRUE,"Heavy Truck"))</f>
        <v>137.25806577614264</v>
      </c>
      <c r="P206" s="56">
        <f ca="1">INDIRECT(ADDRESS(D197+6,16,4,TRUE,"Heavy Truck"))</f>
        <v>135.7199133048824</v>
      </c>
      <c r="Q206" s="57">
        <f ca="1">INDIRECT(ADDRESS(D197+6,17,4,TRUE,"Heavy Truck"))</f>
        <v>134.17426687969578</v>
      </c>
    </row>
    <row r="207" spans="3:17" ht="15.5" x14ac:dyDescent="0.35">
      <c r="C207" s="24" t="s">
        <v>44</v>
      </c>
      <c r="D207" s="55">
        <f ca="1">INDIRECT(ADDRESS(D197+6,4,4,TRUE,"Heavy Bus"))</f>
        <v>7.914409359205445</v>
      </c>
      <c r="E207" s="56">
        <f ca="1">INDIRECT(ADDRESS(D197+6,5,4,TRUE,"Heavy Bus"))</f>
        <v>7.5288576503770077</v>
      </c>
      <c r="F207" s="56">
        <f ca="1">INDIRECT(ADDRESS(D197+6,6,4,TRUE,"Heavy Bus"))</f>
        <v>7.4791478762437498</v>
      </c>
      <c r="G207" s="56">
        <f ca="1">INDIRECT(ADDRESS($D197+6,7,4,TRUE,"Heavy Bus"))</f>
        <v>8.9255936143670827</v>
      </c>
      <c r="H207" s="56">
        <f ca="1">INDIRECT(ADDRESS($D197+6,8,4,TRUE,"Heavy Bus"))</f>
        <v>8.4445767328455812</v>
      </c>
      <c r="I207" s="56">
        <f ca="1">INDIRECT(ADDRESS(D197+6,9,4,TRUE,"Heavy Bus"))</f>
        <v>9.0388259168493583</v>
      </c>
      <c r="J207" s="56">
        <f ca="1">INDIRECT(ADDRESS(D197+6,10,4,TRUE,"Heavy Bus"))</f>
        <v>10.523177878397561</v>
      </c>
      <c r="K207" s="56">
        <f ca="1">INDIRECT(ADDRESS(D197+6,11,4,TRUE,"Heavy Bus"))</f>
        <v>11.820693764001502</v>
      </c>
      <c r="L207" s="56">
        <f ca="1">INDIRECT(ADDRESS(D197+6,12,4,TRUE,"Heavy Bus"))</f>
        <v>13.088063340930427</v>
      </c>
      <c r="M207" s="56">
        <f ca="1">INDIRECT(ADDRESS(D197+6,13,4,TRUE,"Heavy Bus"))</f>
        <v>14.615777303474905</v>
      </c>
      <c r="N207" s="56">
        <f ca="1">INDIRECT(ADDRESS(D197+6,14,4,TRUE,"Heavy Bus"))</f>
        <v>16.403113870471728</v>
      </c>
      <c r="O207" s="56">
        <f ca="1">INDIRECT(ADDRESS(D197+6,15,4,TRUE,"Heavy Bus"))</f>
        <v>18.592281914822763</v>
      </c>
      <c r="P207" s="56">
        <f ca="1">INDIRECT(ADDRESS(D197+6,16,4,TRUE,"Heavy Bus"))</f>
        <v>21.127433623606333</v>
      </c>
      <c r="Q207" s="57">
        <f ca="1">INDIRECT(ADDRESS(D197+6,17,4,TRUE,"Heavy Bus"))</f>
        <v>24.067653155051161</v>
      </c>
    </row>
    <row r="208" spans="3:17" ht="16" thickBot="1" x14ac:dyDescent="0.4">
      <c r="C208" s="24" t="s">
        <v>42</v>
      </c>
      <c r="D208" s="55">
        <f ca="1">INDIRECT(ADDRESS(D197+6,4,4,TRUE,"Motorcycle"))</f>
        <v>8.4069565937113993</v>
      </c>
      <c r="E208" s="56">
        <f ca="1">INDIRECT(ADDRESS(D197+6,5,4,TRUE,"Motorcycle"))</f>
        <v>8.3813963296353666</v>
      </c>
      <c r="F208" s="56">
        <f ca="1">INDIRECT(ADDRESS(D197+6,6,4,TRUE,"Motorcycle"))</f>
        <v>7.8984877300179157</v>
      </c>
      <c r="G208" s="56">
        <f ca="1">INDIRECT(ADDRESS($D197+6,7,4,TRUE,"Motorcycle"))</f>
        <v>8.8635508086328034</v>
      </c>
      <c r="H208" s="56">
        <f ca="1">INDIRECT(ADDRESS($D197+6,8,4,TRUE,"Motorcycle"))</f>
        <v>9.1486434791888858</v>
      </c>
      <c r="I208" s="56">
        <f ca="1">INDIRECT(ADDRESS(D197+6,9,4,TRUE,"Motorcycle"))</f>
        <v>9.1656911469397109</v>
      </c>
      <c r="J208" s="56">
        <f ca="1">INDIRECT(ADDRESS(D197+6,10,4,TRUE,"Motorcycle"))</f>
        <v>9.2435745360558297</v>
      </c>
      <c r="K208" s="56">
        <f ca="1">INDIRECT(ADDRESS(D197+6,11,4,TRUE,"Motorcycle"))</f>
        <v>9.1829809719123485</v>
      </c>
      <c r="L208" s="56">
        <f ca="1">INDIRECT(ADDRESS(D197+6,12,4,TRUE,"Motorcycle"))</f>
        <v>9.0307860106019255</v>
      </c>
      <c r="M208" s="56">
        <f ca="1">INDIRECT(ADDRESS(D197+6,13,4,TRUE,"Motorcycle"))</f>
        <v>8.7177515524368694</v>
      </c>
      <c r="N208" s="56">
        <f ca="1">INDIRECT(ADDRESS(D197+6,14,4,TRUE,"Motorcycle"))</f>
        <v>8.3721504205730923</v>
      </c>
      <c r="O208" s="56">
        <f ca="1">INDIRECT(ADDRESS(D197+6,15,4,TRUE,"Motorcycle"))</f>
        <v>8.3125884658112987</v>
      </c>
      <c r="P208" s="56">
        <f ca="1">INDIRECT(ADDRESS(D197+6,16,4,TRUE,"Motorcycle"))</f>
        <v>8.2275243255428663</v>
      </c>
      <c r="Q208" s="57">
        <f ca="1">INDIRECT(ADDRESS(D197+6,17,4,TRUE,"Motorcycle"))</f>
        <v>8.1261482483230711</v>
      </c>
    </row>
    <row r="209" spans="3:17" ht="16.5" thickTop="1" thickBot="1" x14ac:dyDescent="0.4">
      <c r="C209" s="31" t="s">
        <v>45</v>
      </c>
      <c r="D209" s="61">
        <f ca="1">SUM(D202:D208)</f>
        <v>1094.3333164624103</v>
      </c>
      <c r="E209" s="62">
        <f t="shared" ref="E209:Q209" ca="1" si="18">SUM(E202:E208)</f>
        <v>1126.3475292882099</v>
      </c>
      <c r="F209" s="62">
        <f t="shared" ca="1" si="18"/>
        <v>1095.2041423691005</v>
      </c>
      <c r="G209" s="62">
        <f t="shared" ca="1" si="18"/>
        <v>1231.5681044048001</v>
      </c>
      <c r="H209" s="62">
        <f t="shared" ca="1" si="18"/>
        <v>1262.3968192333227</v>
      </c>
      <c r="I209" s="62">
        <f t="shared" ca="1" si="18"/>
        <v>1309.1740270201865</v>
      </c>
      <c r="J209" s="62">
        <f t="shared" ca="1" si="18"/>
        <v>1356.3005718129104</v>
      </c>
      <c r="K209" s="62">
        <f t="shared" ca="1" si="18"/>
        <v>1394.5770453775037</v>
      </c>
      <c r="L209" s="62">
        <f t="shared" ca="1" si="18"/>
        <v>1426.3870452615429</v>
      </c>
      <c r="M209" s="62">
        <f t="shared" ca="1" si="18"/>
        <v>1442.1796516194768</v>
      </c>
      <c r="N209" s="62">
        <f t="shared" ca="1" si="18"/>
        <v>1455.6176040976879</v>
      </c>
      <c r="O209" s="62">
        <f t="shared" ca="1" si="18"/>
        <v>1468.3882678169132</v>
      </c>
      <c r="P209" s="62">
        <f t="shared" ca="1" si="18"/>
        <v>1476.9580287938304</v>
      </c>
      <c r="Q209" s="63">
        <f t="shared" ca="1" si="18"/>
        <v>1481.2164765384791</v>
      </c>
    </row>
    <row r="210" spans="3:17" ht="13" thickTop="1" x14ac:dyDescent="0.25">
      <c r="L210"/>
      <c r="N210" s="121"/>
    </row>
    <row r="211" spans="3:17" ht="13" thickBot="1" x14ac:dyDescent="0.3">
      <c r="L211"/>
      <c r="N211" s="121"/>
    </row>
    <row r="212" spans="3:17" ht="16.5" thickTop="1" thickBot="1" x14ac:dyDescent="0.4">
      <c r="C212" s="180" t="s">
        <v>171</v>
      </c>
      <c r="D212" s="182"/>
      <c r="L212"/>
      <c r="N212" s="121"/>
    </row>
    <row r="213" spans="3:17" ht="13.5" thickTop="1" thickBot="1" x14ac:dyDescent="0.3">
      <c r="L213"/>
      <c r="N213" s="121"/>
    </row>
    <row r="214" spans="3:17" ht="16" thickTop="1" x14ac:dyDescent="0.35">
      <c r="C214" s="32" t="s">
        <v>47</v>
      </c>
      <c r="D214" s="33"/>
      <c r="E214" s="33"/>
      <c r="F214" s="33"/>
      <c r="G214" s="33"/>
      <c r="H214" s="33"/>
      <c r="I214" s="33"/>
      <c r="J214" s="34"/>
      <c r="K214" s="34"/>
      <c r="L214" s="34"/>
      <c r="M214" s="34"/>
      <c r="N214" s="34"/>
      <c r="O214" s="34"/>
      <c r="P214" s="34"/>
      <c r="Q214" s="35"/>
    </row>
    <row r="215" spans="3:17" ht="13.5" thickBot="1" x14ac:dyDescent="0.35">
      <c r="C215" s="36"/>
      <c r="D215" s="37" t="s">
        <v>25</v>
      </c>
      <c r="E215" s="37" t="s">
        <v>37</v>
      </c>
      <c r="F215" s="37" t="s">
        <v>38</v>
      </c>
      <c r="G215" s="37" t="s">
        <v>177</v>
      </c>
      <c r="H215" s="37" t="s">
        <v>178</v>
      </c>
      <c r="I215" s="37" t="s">
        <v>26</v>
      </c>
      <c r="J215" s="37" t="s">
        <v>27</v>
      </c>
      <c r="K215" s="37" t="s">
        <v>28</v>
      </c>
      <c r="L215" s="37" t="s">
        <v>29</v>
      </c>
      <c r="M215" s="37" t="s">
        <v>30</v>
      </c>
      <c r="N215" s="37" t="s">
        <v>31</v>
      </c>
      <c r="O215" s="37" t="s">
        <v>174</v>
      </c>
      <c r="P215" s="37" t="s">
        <v>175</v>
      </c>
      <c r="Q215" s="38" t="s">
        <v>176</v>
      </c>
    </row>
    <row r="216" spans="3:17" ht="14" thickTop="1" thickBot="1" x14ac:dyDescent="0.35">
      <c r="C216" s="70"/>
      <c r="D216" s="71" t="s">
        <v>39</v>
      </c>
      <c r="E216" s="65" t="s">
        <v>39</v>
      </c>
      <c r="F216" s="65" t="s">
        <v>39</v>
      </c>
      <c r="G216" s="65" t="s">
        <v>39</v>
      </c>
      <c r="H216" s="65" t="s">
        <v>39</v>
      </c>
      <c r="I216" s="65" t="s">
        <v>39</v>
      </c>
      <c r="J216" s="65" t="s">
        <v>32</v>
      </c>
      <c r="K216" s="65" t="s">
        <v>32</v>
      </c>
      <c r="L216" s="65" t="s">
        <v>32</v>
      </c>
      <c r="M216" s="65" t="s">
        <v>32</v>
      </c>
      <c r="N216" s="65" t="s">
        <v>32</v>
      </c>
      <c r="O216" s="65" t="s">
        <v>32</v>
      </c>
      <c r="P216" s="65" t="s">
        <v>32</v>
      </c>
      <c r="Q216" s="66" t="s">
        <v>32</v>
      </c>
    </row>
    <row r="217" spans="3:17" ht="16" thickTop="1" x14ac:dyDescent="0.35">
      <c r="C217" s="24" t="s">
        <v>113</v>
      </c>
      <c r="D217" s="55">
        <f ca="1">D7+D22+D37+D52+D67+D82+D97+D112+D127+D142+D157+D172+D187+D202</f>
        <v>30613.689355067967</v>
      </c>
      <c r="E217" s="53">
        <f t="shared" ref="E217:N217" ca="1" si="19">E7+E22+E37+E52+E67+E82+E97+E112+E127+E142+E157+E172+E187+E202</f>
        <v>31098.979572422566</v>
      </c>
      <c r="F217" s="53">
        <f t="shared" ca="1" si="19"/>
        <v>31876.938732869767</v>
      </c>
      <c r="G217" s="53">
        <f t="shared" ref="G217:H217" ca="1" si="20">G7+G22+G37+G52+G67+G82+G97+G112+G127+G142+G157+G172+G187+G202</f>
        <v>33051.63505701306</v>
      </c>
      <c r="H217" s="53">
        <f t="shared" ca="1" si="20"/>
        <v>34121.587861308319</v>
      </c>
      <c r="I217" s="53">
        <f t="shared" ca="1" si="19"/>
        <v>35021.579534181452</v>
      </c>
      <c r="J217" s="53">
        <f t="shared" ca="1" si="19"/>
        <v>37527.75012106022</v>
      </c>
      <c r="K217" s="53">
        <f t="shared" ca="1" si="19"/>
        <v>36491.06097593563</v>
      </c>
      <c r="L217" s="53">
        <f t="shared" ca="1" si="19"/>
        <v>35092.332167708213</v>
      </c>
      <c r="M217" s="53">
        <f t="shared" ca="1" si="19"/>
        <v>33222.494972715787</v>
      </c>
      <c r="N217" s="53">
        <f t="shared" ca="1" si="19"/>
        <v>31156.912816966011</v>
      </c>
      <c r="O217" s="53">
        <f t="shared" ref="O217:Q217" ca="1" si="21">O7+O22+O37+O52+O67+O82+O97+O112+O127+O142+O157+O172+O187+O202</f>
        <v>28977.523766931372</v>
      </c>
      <c r="P217" s="53">
        <f t="shared" ca="1" si="21"/>
        <v>26620.108860041531</v>
      </c>
      <c r="Q217" s="54">
        <f t="shared" ca="1" si="21"/>
        <v>24083.053855462742</v>
      </c>
    </row>
    <row r="218" spans="3:17" ht="15.5" x14ac:dyDescent="0.35">
      <c r="C218" s="24" t="s">
        <v>114</v>
      </c>
      <c r="D218" s="55">
        <f t="shared" ref="D218:N223" ca="1" si="22">D8+D23+D38+D53+D68+D83+D98+D113+D128+D143+D158+D173+D188+D203</f>
        <v>6225.763920082044</v>
      </c>
      <c r="E218" s="56">
        <f t="shared" ca="1" si="22"/>
        <v>6562.575245763288</v>
      </c>
      <c r="F218" s="56">
        <f t="shared" ca="1" si="22"/>
        <v>6996.379409964019</v>
      </c>
      <c r="G218" s="56">
        <f t="shared" ref="G218:H218" ca="1" si="23">G8+G23+G38+G53+G68+G83+G98+G113+G128+G143+G158+G173+G188+G203</f>
        <v>7511.7651422629751</v>
      </c>
      <c r="H218" s="56">
        <f t="shared" ca="1" si="23"/>
        <v>8038.7908779505806</v>
      </c>
      <c r="I218" s="56">
        <f t="shared" ca="1" si="22"/>
        <v>8728.4895697343054</v>
      </c>
      <c r="J218" s="56">
        <f t="shared" ca="1" si="22"/>
        <v>9624.7058154418155</v>
      </c>
      <c r="K218" s="56">
        <f t="shared" ca="1" si="22"/>
        <v>9971.5402735724747</v>
      </c>
      <c r="L218" s="56">
        <f t="shared" ca="1" si="22"/>
        <v>10270.555475752579</v>
      </c>
      <c r="M218" s="56">
        <f t="shared" ca="1" si="22"/>
        <v>10541.424373082949</v>
      </c>
      <c r="N218" s="56">
        <f t="shared" ca="1" si="22"/>
        <v>10844.099752934317</v>
      </c>
      <c r="O218" s="56">
        <f t="shared" ref="O218:Q218" ca="1" si="24">O8+O23+O38+O53+O68+O83+O98+O113+O128+O143+O158+O173+O188+O203</f>
        <v>11177.44800221862</v>
      </c>
      <c r="P218" s="56">
        <f t="shared" ca="1" si="24"/>
        <v>11492.784175333245</v>
      </c>
      <c r="Q218" s="57">
        <f t="shared" ca="1" si="24"/>
        <v>11764.273862684708</v>
      </c>
    </row>
    <row r="219" spans="3:17" ht="15.5" x14ac:dyDescent="0.35">
      <c r="C219" s="24" t="s">
        <v>115</v>
      </c>
      <c r="D219" s="55">
        <f t="shared" ca="1" si="22"/>
        <v>262.81779245548046</v>
      </c>
      <c r="E219" s="56">
        <f t="shared" ca="1" si="22"/>
        <v>266.88733686006401</v>
      </c>
      <c r="F219" s="56">
        <f t="shared" ca="1" si="22"/>
        <v>271.58944823315261</v>
      </c>
      <c r="G219" s="56">
        <f t="shared" ref="G219:H219" ca="1" si="25">G9+G24+G39+G54+G69+G84+G99+G114+G129+G144+G159+G174+G189+G204</f>
        <v>290.69149218598466</v>
      </c>
      <c r="H219" s="56">
        <f t="shared" ca="1" si="25"/>
        <v>328.77035123657737</v>
      </c>
      <c r="I219" s="56">
        <f t="shared" ca="1" si="22"/>
        <v>452.56277442402774</v>
      </c>
      <c r="J219" s="56">
        <f t="shared" ca="1" si="22"/>
        <v>537.62050515392843</v>
      </c>
      <c r="K219" s="56">
        <f t="shared" ca="1" si="22"/>
        <v>3881.2238123421612</v>
      </c>
      <c r="L219" s="56">
        <f t="shared" ca="1" si="22"/>
        <v>7491.9334522248</v>
      </c>
      <c r="M219" s="56">
        <f t="shared" ca="1" si="22"/>
        <v>11260.259852562698</v>
      </c>
      <c r="N219" s="56">
        <f t="shared" ca="1" si="22"/>
        <v>15167.826705492509</v>
      </c>
      <c r="O219" s="56">
        <f t="shared" ref="O219:Q219" ca="1" si="26">O9+O24+O39+O54+O69+O84+O99+O114+O129+O144+O159+O174+O189+O204</f>
        <v>19209.700876179741</v>
      </c>
      <c r="P219" s="56">
        <f t="shared" ca="1" si="26"/>
        <v>23355.74409113713</v>
      </c>
      <c r="Q219" s="57">
        <f t="shared" ca="1" si="26"/>
        <v>27600.213517506047</v>
      </c>
    </row>
    <row r="220" spans="3:17" ht="15.5" x14ac:dyDescent="0.35">
      <c r="C220" s="24" t="s">
        <v>116</v>
      </c>
      <c r="D220" s="55">
        <f t="shared" ca="1" si="22"/>
        <v>72.037163507162475</v>
      </c>
      <c r="E220" s="56">
        <f t="shared" ca="1" si="22"/>
        <v>71.584924474733342</v>
      </c>
      <c r="F220" s="56">
        <f t="shared" ca="1" si="22"/>
        <v>71.246826967757883</v>
      </c>
      <c r="G220" s="56">
        <f t="shared" ref="G220:H220" ca="1" si="27">G10+G25+G40+G55+G70+G85+G100+G115+G130+G145+G160+G175+G190+G205</f>
        <v>70.527300522370751</v>
      </c>
      <c r="H220" s="56">
        <f t="shared" ca="1" si="27"/>
        <v>79.610439330117231</v>
      </c>
      <c r="I220" s="56">
        <f t="shared" ca="1" si="22"/>
        <v>81.211926647617702</v>
      </c>
      <c r="J220" s="56">
        <f t="shared" ca="1" si="22"/>
        <v>95.943716274314298</v>
      </c>
      <c r="K220" s="56">
        <f t="shared" ca="1" si="22"/>
        <v>577.72786470117342</v>
      </c>
      <c r="L220" s="56">
        <f t="shared" ca="1" si="22"/>
        <v>1094.6462016687835</v>
      </c>
      <c r="M220" s="56">
        <f t="shared" ca="1" si="22"/>
        <v>1630.8711685215847</v>
      </c>
      <c r="N220" s="56">
        <f t="shared" ca="1" si="22"/>
        <v>2183.8616744216047</v>
      </c>
      <c r="O220" s="56">
        <f t="shared" ref="O220:Q220" ca="1" si="28">O10+O25+O40+O55+O70+O85+O100+O115+O130+O145+O160+O175+O190+O205</f>
        <v>2752.2193179691144</v>
      </c>
      <c r="P220" s="56">
        <f t="shared" ca="1" si="28"/>
        <v>3332.2178716813482</v>
      </c>
      <c r="Q220" s="57">
        <f t="shared" ca="1" si="28"/>
        <v>3923.187583473115</v>
      </c>
    </row>
    <row r="221" spans="3:17" ht="15.5" x14ac:dyDescent="0.35">
      <c r="C221" s="24" t="s">
        <v>43</v>
      </c>
      <c r="D221" s="55">
        <f t="shared" ca="1" si="22"/>
        <v>2625.5817312218246</v>
      </c>
      <c r="E221" s="56">
        <f t="shared" ca="1" si="22"/>
        <v>2725.0931923571188</v>
      </c>
      <c r="F221" s="56">
        <f t="shared" ca="1" si="22"/>
        <v>2811.1511205060533</v>
      </c>
      <c r="G221" s="56">
        <f t="shared" ref="G221:H221" ca="1" si="29">G11+G26+G41+G56+G71+G86+G101+G116+G131+G146+G161+G176+G191+G206</f>
        <v>2886.4625296213922</v>
      </c>
      <c r="H221" s="56">
        <f t="shared" ca="1" si="29"/>
        <v>2974.6447783585722</v>
      </c>
      <c r="I221" s="56">
        <f t="shared" ca="1" si="22"/>
        <v>3136.7030191846889</v>
      </c>
      <c r="J221" s="56">
        <f t="shared" ca="1" si="22"/>
        <v>3431.3617720902712</v>
      </c>
      <c r="K221" s="56">
        <f t="shared" ca="1" si="22"/>
        <v>3552.5052907360346</v>
      </c>
      <c r="L221" s="56">
        <f t="shared" ca="1" si="22"/>
        <v>3665.5999638904796</v>
      </c>
      <c r="M221" s="56">
        <f t="shared" ca="1" si="22"/>
        <v>3694.6059104696583</v>
      </c>
      <c r="N221" s="56">
        <f t="shared" ca="1" si="22"/>
        <v>3719.9594953767482</v>
      </c>
      <c r="O221" s="56">
        <f t="shared" ref="O221:Q221" ca="1" si="30">O11+O26+O41+O56+O71+O86+O101+O116+O131+O146+O161+O176+O191+O206</f>
        <v>3753.2814131774512</v>
      </c>
      <c r="P221" s="56">
        <f t="shared" ca="1" si="30"/>
        <v>3782.7053956249429</v>
      </c>
      <c r="Q221" s="57">
        <f t="shared" ca="1" si="30"/>
        <v>3808.4032365964185</v>
      </c>
    </row>
    <row r="222" spans="3:17" ht="15.5" x14ac:dyDescent="0.35">
      <c r="C222" s="24" t="s">
        <v>44</v>
      </c>
      <c r="D222" s="55">
        <f t="shared" ca="1" si="22"/>
        <v>245.25345477429616</v>
      </c>
      <c r="E222" s="56">
        <f t="shared" ca="1" si="22"/>
        <v>255.49508658811862</v>
      </c>
      <c r="F222" s="56">
        <f t="shared" ca="1" si="22"/>
        <v>263.52125939693201</v>
      </c>
      <c r="G222" s="56">
        <f t="shared" ref="G222:H222" ca="1" si="31">G12+G27+G42+G57+G72+G87+G102+G117+G132+G147+G162+G177+G192+G207</f>
        <v>272.01059552122399</v>
      </c>
      <c r="H222" s="56">
        <f t="shared" ca="1" si="31"/>
        <v>285.50486420865337</v>
      </c>
      <c r="I222" s="56">
        <f t="shared" ca="1" si="22"/>
        <v>301.64908371233633</v>
      </c>
      <c r="J222" s="56">
        <f t="shared" ca="1" si="22"/>
        <v>364.40336373598916</v>
      </c>
      <c r="K222" s="56">
        <f t="shared" ca="1" si="22"/>
        <v>417.92199774216033</v>
      </c>
      <c r="L222" s="56">
        <f t="shared" ca="1" si="22"/>
        <v>461.3271639003629</v>
      </c>
      <c r="M222" s="56">
        <f t="shared" ca="1" si="22"/>
        <v>510.22095322900896</v>
      </c>
      <c r="N222" s="56">
        <f t="shared" ca="1" si="22"/>
        <v>565.17849476988306</v>
      </c>
      <c r="O222" s="56">
        <f t="shared" ref="O222:Q222" ca="1" si="32">O12+O27+O42+O57+O72+O87+O102+O117+O132+O147+O162+O177+O192+O207</f>
        <v>634.93971948572357</v>
      </c>
      <c r="P222" s="56">
        <f t="shared" ca="1" si="32"/>
        <v>714.55724259739964</v>
      </c>
      <c r="Q222" s="57">
        <f t="shared" ca="1" si="32"/>
        <v>805.96142641398444</v>
      </c>
    </row>
    <row r="223" spans="3:17" ht="16" thickBot="1" x14ac:dyDescent="0.4">
      <c r="C223" s="24" t="s">
        <v>42</v>
      </c>
      <c r="D223" s="55">
        <f t="shared" ca="1" si="22"/>
        <v>385.37817629123339</v>
      </c>
      <c r="E223" s="56">
        <f t="shared" ca="1" si="22"/>
        <v>394.47859881411927</v>
      </c>
      <c r="F223" s="56">
        <f t="shared" ca="1" si="22"/>
        <v>399.980804562326</v>
      </c>
      <c r="G223" s="56">
        <f t="shared" ref="G223:H223" ca="1" si="33">G13+G28+G43+G58+G73+G88+G103+G118+G133+G148+G163+G178+G193+G208</f>
        <v>417.59118960297752</v>
      </c>
      <c r="H223" s="56">
        <f t="shared" ca="1" si="33"/>
        <v>414.46709349717725</v>
      </c>
      <c r="I223" s="56">
        <f t="shared" ca="1" si="22"/>
        <v>413.75162126558104</v>
      </c>
      <c r="J223" s="56">
        <f t="shared" ca="1" si="22"/>
        <v>437.13860363583865</v>
      </c>
      <c r="K223" s="56">
        <f t="shared" ca="1" si="22"/>
        <v>450.46215031536588</v>
      </c>
      <c r="L223" s="56">
        <f t="shared" ca="1" si="22"/>
        <v>458.78377812773238</v>
      </c>
      <c r="M223" s="56">
        <f t="shared" ca="1" si="22"/>
        <v>458.38772445299583</v>
      </c>
      <c r="N223" s="56">
        <f t="shared" ca="1" si="22"/>
        <v>455.41674324651854</v>
      </c>
      <c r="O223" s="56">
        <f t="shared" ref="O223:Q223" ca="1" si="34">O13+O28+O43+O58+O73+O88+O103+O118+O133+O148+O163+O178+O193+O208</f>
        <v>467.94995380517918</v>
      </c>
      <c r="P223" s="56">
        <f t="shared" ca="1" si="34"/>
        <v>479.47968683568189</v>
      </c>
      <c r="Q223" s="57">
        <f t="shared" ca="1" si="34"/>
        <v>490.4214651288097</v>
      </c>
    </row>
    <row r="224" spans="3:17" ht="16.5" thickTop="1" thickBot="1" x14ac:dyDescent="0.4">
      <c r="C224" s="31" t="s">
        <v>45</v>
      </c>
      <c r="D224" s="61">
        <f ca="1">SUM(D217:D223)</f>
        <v>40430.521593400015</v>
      </c>
      <c r="E224" s="62">
        <f t="shared" ref="E224:N224" ca="1" si="35">SUM(E217:E223)</f>
        <v>41375.093957280005</v>
      </c>
      <c r="F224" s="62">
        <f t="shared" ca="1" si="35"/>
        <v>42690.807602500005</v>
      </c>
      <c r="G224" s="62">
        <f t="shared" ref="G224:H224" ca="1" si="36">SUM(G217:G223)</f>
        <v>44500.683306729989</v>
      </c>
      <c r="H224" s="62">
        <f t="shared" ca="1" si="36"/>
        <v>46243.376265890001</v>
      </c>
      <c r="I224" s="62">
        <f t="shared" ca="1" si="35"/>
        <v>48135.947529149998</v>
      </c>
      <c r="J224" s="62">
        <f t="shared" ca="1" si="35"/>
        <v>52018.923897392378</v>
      </c>
      <c r="K224" s="62">
        <f t="shared" ca="1" si="35"/>
        <v>55342.442365345007</v>
      </c>
      <c r="L224" s="62">
        <f t="shared" ca="1" si="35"/>
        <v>58535.178203272953</v>
      </c>
      <c r="M224" s="62">
        <f t="shared" ca="1" si="35"/>
        <v>61318.264955034676</v>
      </c>
      <c r="N224" s="62">
        <f t="shared" ca="1" si="35"/>
        <v>64093.255683207586</v>
      </c>
      <c r="O224" s="62">
        <f t="shared" ref="O224:Q224" ca="1" si="37">SUM(O217:O223)</f>
        <v>66973.06304976721</v>
      </c>
      <c r="P224" s="62">
        <f t="shared" ca="1" si="37"/>
        <v>69777.597323251277</v>
      </c>
      <c r="Q224" s="63">
        <f t="shared" ca="1" si="37"/>
        <v>72475.514947265823</v>
      </c>
    </row>
    <row r="225" spans="3:17" ht="13" thickTop="1" x14ac:dyDescent="0.25">
      <c r="L225"/>
      <c r="N225" s="121"/>
    </row>
    <row r="226" spans="3:17" x14ac:dyDescent="0.25">
      <c r="L226"/>
      <c r="N226" s="121"/>
    </row>
    <row r="227" spans="3:17" ht="15.5" x14ac:dyDescent="0.35">
      <c r="C227" s="180" t="s">
        <v>172</v>
      </c>
      <c r="L227"/>
      <c r="N227" s="121"/>
    </row>
    <row r="228" spans="3:17" ht="13" thickBot="1" x14ac:dyDescent="0.3">
      <c r="L228"/>
      <c r="N228" s="121"/>
    </row>
    <row r="229" spans="3:17" ht="16" thickTop="1" x14ac:dyDescent="0.35">
      <c r="C229" s="32" t="s">
        <v>47</v>
      </c>
      <c r="D229" s="33"/>
      <c r="E229" s="33"/>
      <c r="F229" s="33"/>
      <c r="G229" s="33"/>
      <c r="H229" s="33"/>
      <c r="I229" s="33"/>
      <c r="J229" s="34"/>
      <c r="K229" s="34"/>
      <c r="L229" s="34"/>
      <c r="M229" s="34"/>
      <c r="N229" s="34"/>
      <c r="O229" s="34"/>
      <c r="P229" s="34"/>
      <c r="Q229" s="35"/>
    </row>
    <row r="230" spans="3:17" ht="13.5" thickBot="1" x14ac:dyDescent="0.35">
      <c r="C230" s="36"/>
      <c r="D230" s="37" t="s">
        <v>25</v>
      </c>
      <c r="E230" s="37" t="s">
        <v>37</v>
      </c>
      <c r="F230" s="37" t="s">
        <v>38</v>
      </c>
      <c r="G230" s="37" t="s">
        <v>177</v>
      </c>
      <c r="H230" s="37" t="s">
        <v>178</v>
      </c>
      <c r="I230" s="37" t="s">
        <v>26</v>
      </c>
      <c r="J230" s="37" t="s">
        <v>27</v>
      </c>
      <c r="K230" s="37" t="s">
        <v>28</v>
      </c>
      <c r="L230" s="37" t="s">
        <v>29</v>
      </c>
      <c r="M230" s="37" t="s">
        <v>30</v>
      </c>
      <c r="N230" s="37" t="s">
        <v>31</v>
      </c>
      <c r="O230" s="37" t="s">
        <v>174</v>
      </c>
      <c r="P230" s="37" t="s">
        <v>175</v>
      </c>
      <c r="Q230" s="38" t="s">
        <v>176</v>
      </c>
    </row>
    <row r="231" spans="3:17" ht="14" thickTop="1" thickBot="1" x14ac:dyDescent="0.35">
      <c r="C231" s="70"/>
      <c r="D231" s="71" t="s">
        <v>39</v>
      </c>
      <c r="E231" s="65" t="s">
        <v>39</v>
      </c>
      <c r="F231" s="65" t="s">
        <v>39</v>
      </c>
      <c r="G231" s="65" t="s">
        <v>39</v>
      </c>
      <c r="H231" s="65" t="s">
        <v>39</v>
      </c>
      <c r="I231" s="65" t="s">
        <v>39</v>
      </c>
      <c r="J231" s="65" t="s">
        <v>32</v>
      </c>
      <c r="K231" s="65" t="s">
        <v>32</v>
      </c>
      <c r="L231" s="65" t="s">
        <v>32</v>
      </c>
      <c r="M231" s="65" t="s">
        <v>32</v>
      </c>
      <c r="N231" s="65" t="s">
        <v>32</v>
      </c>
      <c r="O231" s="65" t="s">
        <v>32</v>
      </c>
      <c r="P231" s="65" t="s">
        <v>32</v>
      </c>
      <c r="Q231" s="66" t="s">
        <v>32</v>
      </c>
    </row>
    <row r="232" spans="3:17" ht="16" thickTop="1" x14ac:dyDescent="0.35">
      <c r="C232" s="24" t="s">
        <v>113</v>
      </c>
      <c r="D232" s="55">
        <f ca="1">D217-Summary!D7</f>
        <v>0</v>
      </c>
      <c r="E232" s="53">
        <f ca="1">E217-Summary!E7</f>
        <v>0</v>
      </c>
      <c r="F232" s="53">
        <f ca="1">F217-Summary!F7</f>
        <v>0</v>
      </c>
      <c r="G232" s="53">
        <f ca="1">G217-Summary!G7</f>
        <v>0</v>
      </c>
      <c r="H232" s="53">
        <f ca="1">H217-Summary!H7</f>
        <v>0</v>
      </c>
      <c r="I232" s="53">
        <f ca="1">I217-Summary!I7</f>
        <v>0</v>
      </c>
      <c r="J232" s="53">
        <f ca="1">J217-Summary!J7</f>
        <v>0</v>
      </c>
      <c r="K232" s="53">
        <f ca="1">K217-Summary!K7</f>
        <v>0</v>
      </c>
      <c r="L232" s="53">
        <f ca="1">L217-Summary!L7</f>
        <v>0</v>
      </c>
      <c r="M232" s="53">
        <f ca="1">M217-Summary!M7</f>
        <v>0</v>
      </c>
      <c r="N232" s="53">
        <f ca="1">N217-Summary!N7</f>
        <v>0</v>
      </c>
      <c r="O232" s="53">
        <f ca="1">O217-Summary!O7</f>
        <v>0</v>
      </c>
      <c r="P232" s="53">
        <f ca="1">P217-Summary!P7</f>
        <v>0</v>
      </c>
      <c r="Q232" s="54">
        <f ca="1">Q217-Summary!Q7</f>
        <v>0</v>
      </c>
    </row>
    <row r="233" spans="3:17" ht="15.5" x14ac:dyDescent="0.35">
      <c r="C233" s="24" t="s">
        <v>114</v>
      </c>
      <c r="D233" s="55">
        <f ca="1">D218-Summary!D8</f>
        <v>0</v>
      </c>
      <c r="E233" s="56">
        <f ca="1">E218-Summary!E8</f>
        <v>0</v>
      </c>
      <c r="F233" s="56">
        <f ca="1">F218-Summary!F8</f>
        <v>0</v>
      </c>
      <c r="G233" s="56">
        <f ca="1">G218-Summary!G8</f>
        <v>0</v>
      </c>
      <c r="H233" s="56">
        <f ca="1">H218-Summary!H8</f>
        <v>0</v>
      </c>
      <c r="I233" s="56">
        <f ca="1">I218-Summary!I8</f>
        <v>0</v>
      </c>
      <c r="J233" s="56">
        <f ca="1">J218-Summary!J8</f>
        <v>0</v>
      </c>
      <c r="K233" s="56">
        <f ca="1">K218-Summary!K8</f>
        <v>0</v>
      </c>
      <c r="L233" s="56">
        <f ca="1">L218-Summary!L8</f>
        <v>0</v>
      </c>
      <c r="M233" s="56">
        <f ca="1">M218-Summary!M8</f>
        <v>0</v>
      </c>
      <c r="N233" s="56">
        <f ca="1">N218-Summary!N8</f>
        <v>0</v>
      </c>
      <c r="O233" s="56">
        <f ca="1">O218-Summary!O8</f>
        <v>0</v>
      </c>
      <c r="P233" s="56">
        <f ca="1">P218-Summary!P8</f>
        <v>0</v>
      </c>
      <c r="Q233" s="57">
        <f ca="1">Q218-Summary!Q8</f>
        <v>0</v>
      </c>
    </row>
    <row r="234" spans="3:17" ht="15.5" x14ac:dyDescent="0.35">
      <c r="C234" s="24" t="s">
        <v>115</v>
      </c>
      <c r="D234" s="55">
        <f ca="1">D219-Summary!D9</f>
        <v>0</v>
      </c>
      <c r="E234" s="56">
        <f ca="1">E219-Summary!E9</f>
        <v>0</v>
      </c>
      <c r="F234" s="56">
        <f ca="1">F219-Summary!F9</f>
        <v>0</v>
      </c>
      <c r="G234" s="56">
        <f ca="1">G219-Summary!G9</f>
        <v>0</v>
      </c>
      <c r="H234" s="56">
        <f ca="1">H219-Summary!H9</f>
        <v>0</v>
      </c>
      <c r="I234" s="56">
        <f ca="1">I219-Summary!I9</f>
        <v>0</v>
      </c>
      <c r="J234" s="56">
        <f ca="1">J219-Summary!J9</f>
        <v>0</v>
      </c>
      <c r="K234" s="56">
        <f ca="1">K219-Summary!K9</f>
        <v>0</v>
      </c>
      <c r="L234" s="56">
        <f ca="1">L219-Summary!L9</f>
        <v>0</v>
      </c>
      <c r="M234" s="56">
        <f ca="1">M219-Summary!M9</f>
        <v>0</v>
      </c>
      <c r="N234" s="56">
        <f ca="1">N219-Summary!N9</f>
        <v>0</v>
      </c>
      <c r="O234" s="56">
        <f ca="1">O219-Summary!O9</f>
        <v>0</v>
      </c>
      <c r="P234" s="56">
        <f ca="1">P219-Summary!P9</f>
        <v>0</v>
      </c>
      <c r="Q234" s="57">
        <f ca="1">Q219-Summary!Q9</f>
        <v>0</v>
      </c>
    </row>
    <row r="235" spans="3:17" ht="15.5" x14ac:dyDescent="0.35">
      <c r="C235" s="24" t="s">
        <v>116</v>
      </c>
      <c r="D235" s="55">
        <f ca="1">D220-Summary!D10</f>
        <v>0</v>
      </c>
      <c r="E235" s="56">
        <f ca="1">E220-Summary!E10</f>
        <v>0</v>
      </c>
      <c r="F235" s="56">
        <f ca="1">F220-Summary!F10</f>
        <v>0</v>
      </c>
      <c r="G235" s="56">
        <f ca="1">G220-Summary!G10</f>
        <v>0</v>
      </c>
      <c r="H235" s="56">
        <f ca="1">H220-Summary!H10</f>
        <v>0</v>
      </c>
      <c r="I235" s="56">
        <f ca="1">I220-Summary!I10</f>
        <v>0</v>
      </c>
      <c r="J235" s="56">
        <f ca="1">J220-Summary!J10</f>
        <v>0</v>
      </c>
      <c r="K235" s="56">
        <f ca="1">K220-Summary!K10</f>
        <v>0</v>
      </c>
      <c r="L235" s="56">
        <f ca="1">L220-Summary!L10</f>
        <v>0</v>
      </c>
      <c r="M235" s="56">
        <f ca="1">M220-Summary!M10</f>
        <v>0</v>
      </c>
      <c r="N235" s="56">
        <f ca="1">N220-Summary!N10</f>
        <v>0</v>
      </c>
      <c r="O235" s="56">
        <f ca="1">O220-Summary!O10</f>
        <v>0</v>
      </c>
      <c r="P235" s="56">
        <f ca="1">P220-Summary!P10</f>
        <v>0</v>
      </c>
      <c r="Q235" s="57">
        <f ca="1">Q220-Summary!Q10</f>
        <v>0</v>
      </c>
    </row>
    <row r="236" spans="3:17" ht="15.5" x14ac:dyDescent="0.35">
      <c r="C236" s="24" t="s">
        <v>43</v>
      </c>
      <c r="D236" s="55">
        <f ca="1">D221-Summary!D11</f>
        <v>0</v>
      </c>
      <c r="E236" s="56">
        <f ca="1">E221-Summary!E11</f>
        <v>0</v>
      </c>
      <c r="F236" s="56">
        <f ca="1">F221-Summary!F11</f>
        <v>0</v>
      </c>
      <c r="G236" s="56">
        <f ca="1">G221-Summary!G11</f>
        <v>0</v>
      </c>
      <c r="H236" s="56">
        <f ca="1">H221-Summary!H11</f>
        <v>0</v>
      </c>
      <c r="I236" s="56">
        <f ca="1">I221-Summary!I11</f>
        <v>0</v>
      </c>
      <c r="J236" s="56">
        <f ca="1">J221-Summary!J11</f>
        <v>0</v>
      </c>
      <c r="K236" s="56">
        <f ca="1">K221-Summary!K11</f>
        <v>0</v>
      </c>
      <c r="L236" s="56">
        <f ca="1">L221-Summary!L11</f>
        <v>0</v>
      </c>
      <c r="M236" s="56">
        <f ca="1">M221-Summary!M11</f>
        <v>0</v>
      </c>
      <c r="N236" s="56">
        <f ca="1">N221-Summary!N11</f>
        <v>0</v>
      </c>
      <c r="O236" s="56">
        <f ca="1">O221-Summary!O11</f>
        <v>0</v>
      </c>
      <c r="P236" s="56">
        <f ca="1">P221-Summary!P11</f>
        <v>0</v>
      </c>
      <c r="Q236" s="57">
        <f ca="1">Q221-Summary!Q11</f>
        <v>0</v>
      </c>
    </row>
    <row r="237" spans="3:17" ht="15.5" x14ac:dyDescent="0.35">
      <c r="C237" s="24" t="s">
        <v>44</v>
      </c>
      <c r="D237" s="55">
        <f ca="1">D222-Summary!D12</f>
        <v>0</v>
      </c>
      <c r="E237" s="56">
        <f ca="1">E222-Summary!E12</f>
        <v>0</v>
      </c>
      <c r="F237" s="56">
        <f ca="1">F222-Summary!F12</f>
        <v>0</v>
      </c>
      <c r="G237" s="56">
        <f ca="1">G222-Summary!G12</f>
        <v>0</v>
      </c>
      <c r="H237" s="56">
        <f ca="1">H222-Summary!H12</f>
        <v>0</v>
      </c>
      <c r="I237" s="56">
        <f ca="1">I222-Summary!I12</f>
        <v>0</v>
      </c>
      <c r="J237" s="56">
        <f ca="1">J222-Summary!J12</f>
        <v>0</v>
      </c>
      <c r="K237" s="56">
        <f ca="1">K222-Summary!K12</f>
        <v>0</v>
      </c>
      <c r="L237" s="56">
        <f ca="1">L222-Summary!L12</f>
        <v>0</v>
      </c>
      <c r="M237" s="56">
        <f ca="1">M222-Summary!M12</f>
        <v>0</v>
      </c>
      <c r="N237" s="56">
        <f ca="1">N222-Summary!N12</f>
        <v>0</v>
      </c>
      <c r="O237" s="56">
        <f ca="1">O222-Summary!O12</f>
        <v>0</v>
      </c>
      <c r="P237" s="56">
        <f ca="1">P222-Summary!P12</f>
        <v>0</v>
      </c>
      <c r="Q237" s="57">
        <f ca="1">Q222-Summary!Q12</f>
        <v>0</v>
      </c>
    </row>
    <row r="238" spans="3:17" ht="16" thickBot="1" x14ac:dyDescent="0.4">
      <c r="C238" s="24" t="s">
        <v>42</v>
      </c>
      <c r="D238" s="55">
        <f ca="1">D223-Summary!D13</f>
        <v>0</v>
      </c>
      <c r="E238" s="56">
        <f ca="1">E223-Summary!E13</f>
        <v>0</v>
      </c>
      <c r="F238" s="56">
        <f ca="1">F223-Summary!F13</f>
        <v>0</v>
      </c>
      <c r="G238" s="56">
        <f ca="1">G223-Summary!G13</f>
        <v>0</v>
      </c>
      <c r="H238" s="56">
        <f ca="1">H223-Summary!H13</f>
        <v>0</v>
      </c>
      <c r="I238" s="56">
        <f ca="1">I223-Summary!I13</f>
        <v>0</v>
      </c>
      <c r="J238" s="56">
        <f ca="1">J223-Summary!J13</f>
        <v>0</v>
      </c>
      <c r="K238" s="56">
        <f ca="1">K223-Summary!K13</f>
        <v>0</v>
      </c>
      <c r="L238" s="56">
        <f ca="1">L223-Summary!L13</f>
        <v>0</v>
      </c>
      <c r="M238" s="56">
        <f ca="1">M223-Summary!M13</f>
        <v>0</v>
      </c>
      <c r="N238" s="56">
        <f ca="1">N223-Summary!N13</f>
        <v>0</v>
      </c>
      <c r="O238" s="56">
        <f ca="1">O223-Summary!O13</f>
        <v>0</v>
      </c>
      <c r="P238" s="56">
        <f ca="1">P223-Summary!P13</f>
        <v>0</v>
      </c>
      <c r="Q238" s="57">
        <f ca="1">Q223-Summary!Q13</f>
        <v>0</v>
      </c>
    </row>
    <row r="239" spans="3:17" ht="16.5" thickTop="1" thickBot="1" x14ac:dyDescent="0.4">
      <c r="C239" s="31" t="s">
        <v>45</v>
      </c>
      <c r="D239" s="61">
        <f ca="1">SUM(D232:D238)</f>
        <v>0</v>
      </c>
      <c r="E239" s="62">
        <f t="shared" ref="E239:N239" ca="1" si="38">SUM(E232:E238)</f>
        <v>0</v>
      </c>
      <c r="F239" s="62">
        <f t="shared" ca="1" si="38"/>
        <v>0</v>
      </c>
      <c r="G239" s="62">
        <f t="shared" ref="G239:H239" ca="1" si="39">SUM(G232:G238)</f>
        <v>0</v>
      </c>
      <c r="H239" s="62">
        <f t="shared" ca="1" si="39"/>
        <v>0</v>
      </c>
      <c r="I239" s="62">
        <f t="shared" ca="1" si="38"/>
        <v>0</v>
      </c>
      <c r="J239" s="62">
        <f t="shared" ca="1" si="38"/>
        <v>0</v>
      </c>
      <c r="K239" s="62">
        <f t="shared" ca="1" si="38"/>
        <v>0</v>
      </c>
      <c r="L239" s="62">
        <f t="shared" ca="1" si="38"/>
        <v>0</v>
      </c>
      <c r="M239" s="62">
        <f t="shared" ca="1" si="38"/>
        <v>0</v>
      </c>
      <c r="N239" s="62">
        <f t="shared" ca="1" si="38"/>
        <v>0</v>
      </c>
      <c r="O239" s="62">
        <f t="shared" ref="O239:Q239" ca="1" si="40">SUM(O232:O238)</f>
        <v>0</v>
      </c>
      <c r="P239" s="62">
        <f t="shared" ca="1" si="40"/>
        <v>0</v>
      </c>
      <c r="Q239" s="63">
        <f t="shared" ca="1" si="40"/>
        <v>0</v>
      </c>
    </row>
    <row r="240" spans="3:17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C3:Q33"/>
  <sheetViews>
    <sheetView zoomScale="90" zoomScaleNormal="90" workbookViewId="0">
      <selection activeCell="E49" sqref="E49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63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32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 ca="1">'[8]Total Distance Tables'!$B$10</f>
        <v>9.2423909657000003</v>
      </c>
      <c r="E7" s="53">
        <f ca="1">D7*4/5 + I7/5</f>
        <v>9.4329331794132241</v>
      </c>
      <c r="F7" s="53">
        <f ca="1">D7*3/5+I7*2/5</f>
        <v>9.6234753931264478</v>
      </c>
      <c r="G7" s="53">
        <f ca="1">D7*2/5+I7*3/5</f>
        <v>9.8140176068396716</v>
      </c>
      <c r="H7" s="53">
        <f ca="1">D7/5+I7*4/5</f>
        <v>10.004559820552895</v>
      </c>
      <c r="I7" s="53">
        <f ca="1">'[8]Total Distance Tables'!C10</f>
        <v>10.195102034266119</v>
      </c>
      <c r="J7" s="53">
        <f ca="1">'[8]Total Distance Tables'!D10</f>
        <v>10.710686716169121</v>
      </c>
      <c r="K7" s="53">
        <f ca="1">'[8]Total Distance Tables'!E10</f>
        <v>10.988708683702917</v>
      </c>
      <c r="L7" s="53">
        <f ca="1">'[8]Total Distance Tables'!F10</f>
        <v>11.127551202043438</v>
      </c>
      <c r="M7" s="53">
        <f ca="1">'[8]Total Distance Tables'!G10</f>
        <v>11.051081679298122</v>
      </c>
      <c r="N7" s="53">
        <f ca="1">'[8]Total Distance Tables'!H10</f>
        <v>10.901766283085157</v>
      </c>
      <c r="O7" s="53">
        <f ca="1">'[8]Total Distance Tables'!I10</f>
        <v>11.123116406099317</v>
      </c>
      <c r="P7" s="53">
        <f ca="1">'[8]Total Distance Tables'!J10</f>
        <v>11.317848978190924</v>
      </c>
      <c r="Q7" s="54">
        <f ca="1">'[8]Total Distance Tables'!K10</f>
        <v>11.496387361808544</v>
      </c>
    </row>
    <row r="8" spans="3:17" ht="15.5" x14ac:dyDescent="0.35">
      <c r="C8" s="24" t="s">
        <v>1</v>
      </c>
      <c r="D8" s="55">
        <f ca="1">'[8]Total Distance Tables'!$B$21</f>
        <v>43.570185572</v>
      </c>
      <c r="E8" s="56">
        <f t="shared" ref="E8:E20" ca="1" si="0">D8*4/5 + I8/5</f>
        <v>44.705827958403106</v>
      </c>
      <c r="F8" s="56">
        <f t="shared" ref="F8:F20" ca="1" si="1">D8*3/5+I8*2/5</f>
        <v>45.841470344806211</v>
      </c>
      <c r="G8" s="56">
        <f t="shared" ref="G8:G20" ca="1" si="2">D8*2/5+I8*3/5</f>
        <v>46.977112731209317</v>
      </c>
      <c r="H8" s="56">
        <f t="shared" ref="H8:H20" ca="1" si="3">D8/5+I8*4/5</f>
        <v>48.112755117612423</v>
      </c>
      <c r="I8" s="56">
        <f ca="1">'[8]Total Distance Tables'!C21</f>
        <v>49.248397504015529</v>
      </c>
      <c r="J8" s="56">
        <f ca="1">'[8]Total Distance Tables'!D21</f>
        <v>52.838389925703254</v>
      </c>
      <c r="K8" s="56">
        <f ca="1">'[8]Total Distance Tables'!E21</f>
        <v>55.114060181872198</v>
      </c>
      <c r="L8" s="56">
        <f ca="1">'[8]Total Distance Tables'!F21</f>
        <v>56.817453327540775</v>
      </c>
      <c r="M8" s="56">
        <f ca="1">'[8]Total Distance Tables'!G21</f>
        <v>57.447851724737596</v>
      </c>
      <c r="N8" s="56">
        <f ca="1">'[8]Total Distance Tables'!H21</f>
        <v>57.751765252598638</v>
      </c>
      <c r="O8" s="56">
        <f ca="1">'[8]Total Distance Tables'!I21</f>
        <v>60.037386629467356</v>
      </c>
      <c r="P8" s="56">
        <f ca="1">'[8]Total Distance Tables'!J21</f>
        <v>62.231218755642864</v>
      </c>
      <c r="Q8" s="57">
        <f ca="1">'[8]Total Distance Tables'!K21</f>
        <v>64.383109381230923</v>
      </c>
    </row>
    <row r="9" spans="3:17" ht="15.5" x14ac:dyDescent="0.35">
      <c r="C9" s="24" t="s">
        <v>2</v>
      </c>
      <c r="D9" s="55">
        <f ca="1">'[8]Total Distance Tables'!$B$32</f>
        <v>38.030338682999997</v>
      </c>
      <c r="E9" s="56">
        <f t="shared" ca="1" si="0"/>
        <v>38.910847272171026</v>
      </c>
      <c r="F9" s="56">
        <f t="shared" ca="1" si="1"/>
        <v>39.791355861342062</v>
      </c>
      <c r="G9" s="56">
        <f t="shared" ca="1" si="2"/>
        <v>40.671864450513098</v>
      </c>
      <c r="H9" s="56">
        <f t="shared" ca="1" si="3"/>
        <v>41.552373039684127</v>
      </c>
      <c r="I9" s="56">
        <f ca="1">'[8]Total Distance Tables'!C32</f>
        <v>42.432881628855164</v>
      </c>
      <c r="J9" s="56">
        <f ca="1">'[8]Total Distance Tables'!D32</f>
        <v>44.70178601711234</v>
      </c>
      <c r="K9" s="56">
        <f ca="1">'[8]Total Distance Tables'!E32</f>
        <v>45.95227467096116</v>
      </c>
      <c r="L9" s="56">
        <f ca="1">'[8]Total Distance Tables'!F32</f>
        <v>46.663308220010805</v>
      </c>
      <c r="M9" s="56">
        <f ca="1">'[8]Total Distance Tables'!G32</f>
        <v>46.464742359480589</v>
      </c>
      <c r="N9" s="56">
        <f ca="1">'[8]Total Distance Tables'!H32</f>
        <v>45.990611430233997</v>
      </c>
      <c r="O9" s="56">
        <f ca="1">'[8]Total Distance Tables'!I32</f>
        <v>47.059908818824951</v>
      </c>
      <c r="P9" s="56">
        <f ca="1">'[8]Total Distance Tables'!J32</f>
        <v>47.999286316297827</v>
      </c>
      <c r="Q9" s="57">
        <f ca="1">'[8]Total Distance Tables'!K32</f>
        <v>48.850376567683178</v>
      </c>
    </row>
    <row r="10" spans="3:17" ht="15.5" x14ac:dyDescent="0.35">
      <c r="C10" s="27" t="s">
        <v>3</v>
      </c>
      <c r="D10" s="55">
        <f ca="1">'[8]Total Distance Tables'!$B$43</f>
        <v>35.608960758999999</v>
      </c>
      <c r="E10" s="56">
        <f t="shared" ca="1" si="0"/>
        <v>36.314591324832222</v>
      </c>
      <c r="F10" s="56">
        <f t="shared" ca="1" si="1"/>
        <v>37.020221890664452</v>
      </c>
      <c r="G10" s="56">
        <f t="shared" ca="1" si="2"/>
        <v>37.725852456496675</v>
      </c>
      <c r="H10" s="56">
        <f t="shared" ca="1" si="3"/>
        <v>38.431483022328905</v>
      </c>
      <c r="I10" s="56">
        <f ca="1">'[8]Total Distance Tables'!C43</f>
        <v>39.137113588161128</v>
      </c>
      <c r="J10" s="56">
        <f ca="1">'[8]Total Distance Tables'!D43</f>
        <v>40.860742035464092</v>
      </c>
      <c r="K10" s="56">
        <f ca="1">'[8]Total Distance Tables'!E43</f>
        <v>41.694912596440986</v>
      </c>
      <c r="L10" s="56">
        <f ca="1">'[8]Total Distance Tables'!F43</f>
        <v>42.033274545002904</v>
      </c>
      <c r="M10" s="56">
        <f ca="1">'[8]Total Distance Tables'!G43</f>
        <v>41.541228741084026</v>
      </c>
      <c r="N10" s="56">
        <f ca="1">'[8]Total Distance Tables'!H43</f>
        <v>40.816037674361112</v>
      </c>
      <c r="O10" s="56">
        <f ca="1">'[8]Total Distance Tables'!I43</f>
        <v>41.456776891303583</v>
      </c>
      <c r="P10" s="56">
        <f ca="1">'[8]Total Distance Tables'!J43</f>
        <v>41.969922092735658</v>
      </c>
      <c r="Q10" s="57">
        <f ca="1">'[8]Total Distance Tables'!K43</f>
        <v>42.394108949951388</v>
      </c>
    </row>
    <row r="11" spans="3:17" ht="15.5" x14ac:dyDescent="0.35">
      <c r="C11" s="24" t="s">
        <v>4</v>
      </c>
      <c r="D11" s="55">
        <f ca="1">'[8]Total Distance Tables'!$B$54</f>
        <v>0.95186353219999997</v>
      </c>
      <c r="E11" s="56">
        <f t="shared" ca="1" si="0"/>
        <v>0.96154496821957891</v>
      </c>
      <c r="F11" s="56">
        <f t="shared" ca="1" si="1"/>
        <v>0.97122640423915785</v>
      </c>
      <c r="G11" s="56">
        <f t="shared" ca="1" si="2"/>
        <v>0.98090784025873667</v>
      </c>
      <c r="H11" s="56">
        <f t="shared" ca="1" si="3"/>
        <v>0.99058927627831572</v>
      </c>
      <c r="I11" s="56">
        <f ca="1">'[8]Total Distance Tables'!C54</f>
        <v>1.0002707122978947</v>
      </c>
      <c r="J11" s="56">
        <f ca="1">'[8]Total Distance Tables'!D54</f>
        <v>1.0182515657889506</v>
      </c>
      <c r="K11" s="56">
        <f ca="1">'[8]Total Distance Tables'!E54</f>
        <v>1.0187742880243813</v>
      </c>
      <c r="L11" s="56">
        <f ca="1">'[8]Total Distance Tables'!F54</f>
        <v>1.0079008779491758</v>
      </c>
      <c r="M11" s="56">
        <f ca="1">'[8]Total Distance Tables'!G54</f>
        <v>0.97685582969866991</v>
      </c>
      <c r="N11" s="56">
        <f ca="1">'[8]Total Distance Tables'!H54</f>
        <v>0.94194303950428282</v>
      </c>
      <c r="O11" s="56">
        <f ca="1">'[8]Total Distance Tables'!I54</f>
        <v>0.93904311493141446</v>
      </c>
      <c r="P11" s="56">
        <f ca="1">'[8]Total Distance Tables'!J54</f>
        <v>0.93321145578272513</v>
      </c>
      <c r="Q11" s="57">
        <f ca="1">'[8]Total Distance Tables'!K54</f>
        <v>0.92545916639180903</v>
      </c>
    </row>
    <row r="12" spans="3:17" ht="15.5" x14ac:dyDescent="0.35">
      <c r="C12" s="24" t="s">
        <v>5</v>
      </c>
      <c r="D12" s="55">
        <f ca="1">'[8]Total Distance Tables'!$B$65</f>
        <v>3.0321841239</v>
      </c>
      <c r="E12" s="56">
        <f t="shared" ca="1" si="0"/>
        <v>3.0872217689803563</v>
      </c>
      <c r="F12" s="56">
        <f t="shared" ca="1" si="1"/>
        <v>3.1422594140607121</v>
      </c>
      <c r="G12" s="56">
        <f t="shared" ca="1" si="2"/>
        <v>3.1972970591410688</v>
      </c>
      <c r="H12" s="56">
        <f t="shared" ca="1" si="3"/>
        <v>3.2523347042214246</v>
      </c>
      <c r="I12" s="56">
        <f ca="1">'[8]Total Distance Tables'!C65</f>
        <v>3.3073723493017808</v>
      </c>
      <c r="J12" s="56">
        <f ca="1">'[8]Total Distance Tables'!D65</f>
        <v>3.4511563006434756</v>
      </c>
      <c r="K12" s="56">
        <f ca="1">'[8]Total Distance Tables'!E65</f>
        <v>3.5224036643922352</v>
      </c>
      <c r="L12" s="56">
        <f ca="1">'[8]Total Distance Tables'!F65</f>
        <v>3.5524304582604969</v>
      </c>
      <c r="M12" s="56">
        <f ca="1">'[8]Total Distance Tables'!G65</f>
        <v>3.5155192286951116</v>
      </c>
      <c r="N12" s="56">
        <f ca="1">'[8]Total Distance Tables'!H65</f>
        <v>3.4625360247278612</v>
      </c>
      <c r="O12" s="56">
        <f ca="1">'[8]Total Distance Tables'!I65</f>
        <v>3.5280313951124795</v>
      </c>
      <c r="P12" s="56">
        <f ca="1">'[8]Total Distance Tables'!J65</f>
        <v>3.5856893315822846</v>
      </c>
      <c r="Q12" s="57">
        <f ca="1">'[8]Total Distance Tables'!K65</f>
        <v>3.6388614145478111</v>
      </c>
    </row>
    <row r="13" spans="3:17" ht="15.5" x14ac:dyDescent="0.35">
      <c r="C13" s="24" t="s">
        <v>6</v>
      </c>
      <c r="D13" s="55">
        <f ca="1">'[8]Total Distance Tables'!$B$76</f>
        <v>7.0100687938000004</v>
      </c>
      <c r="E13" s="56">
        <f t="shared" ca="1" si="0"/>
        <v>7.1511429274422404</v>
      </c>
      <c r="F13" s="56">
        <f t="shared" ca="1" si="1"/>
        <v>7.2922170610844796</v>
      </c>
      <c r="G13" s="56">
        <f t="shared" ca="1" si="2"/>
        <v>7.4332911947267206</v>
      </c>
      <c r="H13" s="56">
        <f t="shared" ca="1" si="3"/>
        <v>7.5743653283689598</v>
      </c>
      <c r="I13" s="56">
        <f ca="1">'[8]Total Distance Tables'!C76</f>
        <v>7.7154394620111999</v>
      </c>
      <c r="J13" s="56">
        <f ca="1">'[8]Total Distance Tables'!D76</f>
        <v>8.1186824851803827</v>
      </c>
      <c r="K13" s="56">
        <f ca="1">'[8]Total Distance Tables'!E76</f>
        <v>8.3463905597860428</v>
      </c>
      <c r="L13" s="56">
        <f ca="1">'[8]Total Distance Tables'!F76</f>
        <v>8.4877043798875942</v>
      </c>
      <c r="M13" s="56">
        <f ca="1">'[8]Total Distance Tables'!G76</f>
        <v>8.4728291317844064</v>
      </c>
      <c r="N13" s="56">
        <f ca="1">'[8]Total Distance Tables'!H76</f>
        <v>8.4171430560805458</v>
      </c>
      <c r="O13" s="56">
        <f ca="1">'[8]Total Distance Tables'!I76</f>
        <v>8.6487528470368922</v>
      </c>
      <c r="P13" s="56">
        <f ca="1">'[8]Total Distance Tables'!J76</f>
        <v>8.8626227257983548</v>
      </c>
      <c r="Q13" s="57">
        <f ca="1">'[8]Total Distance Tables'!K76</f>
        <v>9.066516776422846</v>
      </c>
    </row>
    <row r="14" spans="3:17" ht="15.5" x14ac:dyDescent="0.35">
      <c r="C14" s="24" t="s">
        <v>7</v>
      </c>
      <c r="D14" s="55">
        <f ca="1">'[8]Total Distance Tables'!$B$87</f>
        <v>3.8744282972000001</v>
      </c>
      <c r="E14" s="56">
        <f t="shared" ca="1" si="0"/>
        <v>3.9356864534358111</v>
      </c>
      <c r="F14" s="56">
        <f t="shared" ca="1" si="1"/>
        <v>3.9969446096716226</v>
      </c>
      <c r="G14" s="56">
        <f t="shared" ca="1" si="2"/>
        <v>4.0582027659074331</v>
      </c>
      <c r="H14" s="56">
        <f t="shared" ca="1" si="3"/>
        <v>4.1194609221432446</v>
      </c>
      <c r="I14" s="56">
        <f ca="1">'[8]Total Distance Tables'!C87</f>
        <v>4.180719078379056</v>
      </c>
      <c r="J14" s="56">
        <f ca="1">'[8]Total Distance Tables'!D87</f>
        <v>4.3098824220160425</v>
      </c>
      <c r="K14" s="56">
        <f ca="1">'[8]Total Distance Tables'!E87</f>
        <v>4.3546230042330247</v>
      </c>
      <c r="L14" s="56">
        <f ca="1">'[8]Total Distance Tables'!F87</f>
        <v>4.3482541768536391</v>
      </c>
      <c r="M14" s="56">
        <f ca="1">'[8]Total Distance Tables'!G87</f>
        <v>4.2602195619743091</v>
      </c>
      <c r="N14" s="56">
        <f ca="1">'[8]Total Distance Tables'!H87</f>
        <v>4.1492403219017788</v>
      </c>
      <c r="O14" s="56">
        <f ca="1">'[8]Total Distance Tables'!I87</f>
        <v>4.1802894133308097</v>
      </c>
      <c r="P14" s="56">
        <f ca="1">'[8]Total Distance Tables'!J87</f>
        <v>4.2006905623689281</v>
      </c>
      <c r="Q14" s="57">
        <f ca="1">'[8]Total Distance Tables'!K87</f>
        <v>4.2147238326331067</v>
      </c>
    </row>
    <row r="15" spans="3:17" ht="15.5" x14ac:dyDescent="0.35">
      <c r="C15" s="24" t="s">
        <v>8</v>
      </c>
      <c r="D15" s="55">
        <f ca="1">'[8]Total Distance Tables'!$B$98</f>
        <v>24.444631151999999</v>
      </c>
      <c r="E15" s="56">
        <f t="shared" ca="1" si="0"/>
        <v>24.966479149432345</v>
      </c>
      <c r="F15" s="56">
        <f t="shared" ca="1" si="1"/>
        <v>25.488327146864684</v>
      </c>
      <c r="G15" s="56">
        <f t="shared" ca="1" si="2"/>
        <v>26.01017514429703</v>
      </c>
      <c r="H15" s="56">
        <f t="shared" ca="1" si="3"/>
        <v>26.532023141729372</v>
      </c>
      <c r="I15" s="56">
        <f ca="1">'[8]Total Distance Tables'!C98</f>
        <v>27.053871139161714</v>
      </c>
      <c r="J15" s="56">
        <f ca="1">'[8]Total Distance Tables'!D98</f>
        <v>28.575609573803526</v>
      </c>
      <c r="K15" s="56">
        <f ca="1">'[8]Total Distance Tables'!E98</f>
        <v>29.482405903463505</v>
      </c>
      <c r="L15" s="56">
        <f ca="1">'[8]Total Distance Tables'!F98</f>
        <v>30.063771851707489</v>
      </c>
      <c r="M15" s="56">
        <f ca="1">'[8]Total Distance Tables'!G98</f>
        <v>30.074200710625583</v>
      </c>
      <c r="N15" s="56">
        <f ca="1">'[8]Total Distance Tables'!H98</f>
        <v>29.912761391420201</v>
      </c>
      <c r="O15" s="56">
        <f ca="1">'[8]Total Distance Tables'!I98</f>
        <v>30.767044097649809</v>
      </c>
      <c r="P15" s="56">
        <f ca="1">'[8]Total Distance Tables'!J98</f>
        <v>31.553789677046499</v>
      </c>
      <c r="Q15" s="57">
        <f ca="1">'[8]Total Distance Tables'!K98</f>
        <v>32.300214648269552</v>
      </c>
    </row>
    <row r="16" spans="3:17" ht="15.5" x14ac:dyDescent="0.35">
      <c r="C16" s="24" t="s">
        <v>9</v>
      </c>
      <c r="D16" s="55">
        <f ca="1">'[8]Total Distance Tables'!$B$109</f>
        <v>34.127286998000002</v>
      </c>
      <c r="E16" s="56">
        <f t="shared" ca="1" si="0"/>
        <v>34.589836769429851</v>
      </c>
      <c r="F16" s="56">
        <f t="shared" ca="1" si="1"/>
        <v>35.0523865408597</v>
      </c>
      <c r="G16" s="56">
        <f t="shared" ca="1" si="2"/>
        <v>35.514936312289556</v>
      </c>
      <c r="H16" s="56">
        <f t="shared" ca="1" si="3"/>
        <v>35.977486083719405</v>
      </c>
      <c r="I16" s="56">
        <f ca="1">'[8]Total Distance Tables'!C109</f>
        <v>36.440035855149262</v>
      </c>
      <c r="J16" s="56">
        <f ca="1">'[8]Total Distance Tables'!D109</f>
        <v>37.518432991341129</v>
      </c>
      <c r="K16" s="56">
        <f ca="1">'[8]Total Distance Tables'!E109</f>
        <v>37.908182393221999</v>
      </c>
      <c r="L16" s="56">
        <f ca="1">'[8]Total Distance Tables'!F109</f>
        <v>37.849791661509343</v>
      </c>
      <c r="M16" s="56">
        <f ca="1">'[8]Total Distance Tables'!G109</f>
        <v>37.056804822069346</v>
      </c>
      <c r="N16" s="56">
        <f ca="1">'[8]Total Distance Tables'!H109</f>
        <v>36.014327494096598</v>
      </c>
      <c r="O16" s="56">
        <f ca="1">'[8]Total Distance Tables'!I109</f>
        <v>36.188439109165799</v>
      </c>
      <c r="P16" s="56">
        <f ca="1">'[8]Total Distance Tables'!J109</f>
        <v>36.250878341743189</v>
      </c>
      <c r="Q16" s="57">
        <f ca="1">'[8]Total Distance Tables'!K109</f>
        <v>36.238516718752308</v>
      </c>
    </row>
    <row r="17" spans="3:17" ht="15.5" x14ac:dyDescent="0.35">
      <c r="C17" s="24" t="s">
        <v>10</v>
      </c>
      <c r="D17" s="55">
        <f ca="1">'[8]Total Distance Tables'!$B$120</f>
        <v>0.29466348679999999</v>
      </c>
      <c r="E17" s="56">
        <f t="shared" ca="1" si="0"/>
        <v>0.29483585783430533</v>
      </c>
      <c r="F17" s="56">
        <f t="shared" ca="1" si="1"/>
        <v>0.29500822886861072</v>
      </c>
      <c r="G17" s="56">
        <f t="shared" ca="1" si="2"/>
        <v>0.29518059990291606</v>
      </c>
      <c r="H17" s="56">
        <f t="shared" ca="1" si="3"/>
        <v>0.29535297093722146</v>
      </c>
      <c r="I17" s="56">
        <f ca="1">'[8]Total Distance Tables'!C120</f>
        <v>0.2955253419715268</v>
      </c>
      <c r="J17" s="56">
        <f ca="1">'[8]Total Distance Tables'!D120</f>
        <v>0.29535685291040026</v>
      </c>
      <c r="K17" s="56">
        <f ca="1">'[8]Total Distance Tables'!E120</f>
        <v>0.2901656819303991</v>
      </c>
      <c r="L17" s="56">
        <f ca="1">'[8]Total Distance Tables'!F120</f>
        <v>0.28182276709480097</v>
      </c>
      <c r="M17" s="56">
        <f ca="1">'[8]Total Distance Tables'!G120</f>
        <v>0.26853855414258615</v>
      </c>
      <c r="N17" s="56">
        <f ca="1">'[8]Total Distance Tables'!H120</f>
        <v>0.25467192752279144</v>
      </c>
      <c r="O17" s="56">
        <f ca="1">'[8]Total Distance Tables'!I120</f>
        <v>0.24970211870905387</v>
      </c>
      <c r="P17" s="56">
        <f ca="1">'[8]Total Distance Tables'!J120</f>
        <v>0.2440602301111465</v>
      </c>
      <c r="Q17" s="57">
        <f ca="1">'[8]Total Distance Tables'!K120</f>
        <v>0.23804248579210049</v>
      </c>
    </row>
    <row r="18" spans="3:17" ht="15.5" x14ac:dyDescent="0.35">
      <c r="C18" s="24" t="s">
        <v>11</v>
      </c>
      <c r="D18" s="55">
        <f ca="1">'[8]Total Distance Tables'!$B$131</f>
        <v>12.048552727000001</v>
      </c>
      <c r="E18" s="56">
        <f t="shared" ca="1" si="0"/>
        <v>12.393669143685827</v>
      </c>
      <c r="F18" s="56">
        <f t="shared" ca="1" si="1"/>
        <v>12.738785560371653</v>
      </c>
      <c r="G18" s="56">
        <f t="shared" ca="1" si="2"/>
        <v>13.083901977057478</v>
      </c>
      <c r="H18" s="56">
        <f t="shared" ca="1" si="3"/>
        <v>13.429018393743306</v>
      </c>
      <c r="I18" s="56">
        <f ca="1">'[8]Total Distance Tables'!C131</f>
        <v>13.77413481042913</v>
      </c>
      <c r="J18" s="56">
        <f ca="1">'[8]Total Distance Tables'!D131</f>
        <v>14.82291561999223</v>
      </c>
      <c r="K18" s="56">
        <f ca="1">'[8]Total Distance Tables'!E131</f>
        <v>15.482916083547073</v>
      </c>
      <c r="L18" s="56">
        <f ca="1">'[8]Total Distance Tables'!F131</f>
        <v>15.974998295449305</v>
      </c>
      <c r="M18" s="56">
        <f ca="1">'[8]Total Distance Tables'!G131</f>
        <v>16.168777290861655</v>
      </c>
      <c r="N18" s="56">
        <f ca="1">'[8]Total Distance Tables'!H131</f>
        <v>16.268751823106737</v>
      </c>
      <c r="O18" s="56">
        <f ca="1">'[8]Total Distance Tables'!I131</f>
        <v>16.925236098938754</v>
      </c>
      <c r="P18" s="56">
        <f ca="1">'[8]Total Distance Tables'!J131</f>
        <v>17.554351205731514</v>
      </c>
      <c r="Q18" s="57">
        <f ca="1">'[8]Total Distance Tables'!K131</f>
        <v>18.169903952111419</v>
      </c>
    </row>
    <row r="19" spans="3:17" ht="15.5" x14ac:dyDescent="0.35">
      <c r="C19" s="24" t="s">
        <v>12</v>
      </c>
      <c r="D19" s="55">
        <f ca="1">'[8]Total Distance Tables'!$B$142</f>
        <v>18.503357486999999</v>
      </c>
      <c r="E19" s="56">
        <f t="shared" ca="1" si="0"/>
        <v>19.023926531774251</v>
      </c>
      <c r="F19" s="56">
        <f t="shared" ca="1" si="1"/>
        <v>19.544495576548503</v>
      </c>
      <c r="G19" s="56">
        <f t="shared" ca="1" si="2"/>
        <v>20.065064621322758</v>
      </c>
      <c r="H19" s="56">
        <f t="shared" ca="1" si="3"/>
        <v>20.585633666097007</v>
      </c>
      <c r="I19" s="56">
        <f ca="1">'[8]Total Distance Tables'!C142</f>
        <v>21.106202710871262</v>
      </c>
      <c r="J19" s="56">
        <f ca="1">'[8]Total Distance Tables'!D142</f>
        <v>22.652369943185409</v>
      </c>
      <c r="K19" s="56">
        <f ca="1">'[8]Total Distance Tables'!E142</f>
        <v>23.544135706404219</v>
      </c>
      <c r="L19" s="56">
        <f ca="1">'[8]Total Distance Tables'!F142</f>
        <v>24.179489086226226</v>
      </c>
      <c r="M19" s="56">
        <f ca="1">'[8]Total Distance Tables'!G142</f>
        <v>24.34980759672748</v>
      </c>
      <c r="N19" s="56">
        <f ca="1">'[8]Total Distance Tables'!H142</f>
        <v>24.385177431188723</v>
      </c>
      <c r="O19" s="56">
        <f ca="1">'[8]Total Distance Tables'!I142</f>
        <v>25.248624875168417</v>
      </c>
      <c r="P19" s="56">
        <f ca="1">'[8]Total Distance Tables'!J142</f>
        <v>26.061549719772344</v>
      </c>
      <c r="Q19" s="57">
        <f ca="1">'[8]Total Distance Tables'!K142</f>
        <v>26.845083521451219</v>
      </c>
    </row>
    <row r="20" spans="3:17" ht="16" thickBot="1" x14ac:dyDescent="0.4">
      <c r="C20" s="25" t="s">
        <v>13</v>
      </c>
      <c r="D20" s="58">
        <f ca="1">'[8]Total Distance Tables'!$B$153</f>
        <v>18.926640866</v>
      </c>
      <c r="E20" s="59">
        <f t="shared" ca="1" si="0"/>
        <v>19.124612177058172</v>
      </c>
      <c r="F20" s="59">
        <f t="shared" ca="1" si="1"/>
        <v>19.322583488116344</v>
      </c>
      <c r="G20" s="59">
        <f t="shared" ca="1" si="2"/>
        <v>19.520554799174516</v>
      </c>
      <c r="H20" s="59">
        <f t="shared" ca="1" si="3"/>
        <v>19.718526110232688</v>
      </c>
      <c r="I20" s="59">
        <f ca="1">'[8]Total Distance Tables'!C153</f>
        <v>19.91649742129086</v>
      </c>
      <c r="J20" s="59">
        <f ca="1">'[8]Total Distance Tables'!D153</f>
        <v>20.085733357089381</v>
      </c>
      <c r="K20" s="59">
        <f ca="1">'[8]Total Distance Tables'!E153</f>
        <v>19.95406717451095</v>
      </c>
      <c r="L20" s="59">
        <f ca="1">'[8]Total Distance Tables'!F153</f>
        <v>19.623356646971022</v>
      </c>
      <c r="M20" s="59">
        <f ca="1">'[8]Total Distance Tables'!G153</f>
        <v>18.943151534353721</v>
      </c>
      <c r="N20" s="59">
        <f ca="1">'[8]Total Distance Tables'!H153</f>
        <v>18.192180992011334</v>
      </c>
      <c r="O20" s="59">
        <f ca="1">'[8]Total Distance Tables'!I153</f>
        <v>18.062756434779075</v>
      </c>
      <c r="P20" s="59">
        <f ca="1">'[8]Total Distance Tables'!J153</f>
        <v>17.877917157179567</v>
      </c>
      <c r="Q20" s="60">
        <f ca="1">'[8]Total Distance Tables'!K153</f>
        <v>17.657633018410309</v>
      </c>
    </row>
    <row r="21" spans="3:17" ht="16.5" thickTop="1" thickBot="1" x14ac:dyDescent="0.4">
      <c r="C21" s="31" t="s">
        <v>24</v>
      </c>
      <c r="D21" s="133">
        <f t="shared" ref="D21:N21" ca="1" si="4">SUM(D7:D20)</f>
        <v>249.6655534436</v>
      </c>
      <c r="E21" s="62">
        <f t="shared" ca="1" si="4"/>
        <v>254.89315548211226</v>
      </c>
      <c r="F21" s="62">
        <f t="shared" ca="1" si="4"/>
        <v>260.12075752062464</v>
      </c>
      <c r="G21" s="62">
        <f t="shared" ca="1" si="4"/>
        <v>265.34835955913701</v>
      </c>
      <c r="H21" s="62">
        <f t="shared" ca="1" si="4"/>
        <v>270.57596159764933</v>
      </c>
      <c r="I21" s="62">
        <f t="shared" ca="1" si="4"/>
        <v>275.80356363616164</v>
      </c>
      <c r="J21" s="62">
        <f t="shared" ca="1" si="4"/>
        <v>289.95999580639972</v>
      </c>
      <c r="K21" s="62">
        <f t="shared" ca="1" si="4"/>
        <v>297.65402059249112</v>
      </c>
      <c r="L21" s="62">
        <f t="shared" ca="1" si="4"/>
        <v>302.01110749650701</v>
      </c>
      <c r="M21" s="62">
        <f t="shared" ca="1" si="4"/>
        <v>300.59160876553324</v>
      </c>
      <c r="N21" s="62">
        <f t="shared" ca="1" si="4"/>
        <v>297.45891414183973</v>
      </c>
      <c r="O21" s="62">
        <f t="shared" ref="O21:Q21" ca="1" si="5">SUM(O7:O20)</f>
        <v>304.41510825051773</v>
      </c>
      <c r="P21" s="62">
        <f t="shared" ca="1" si="5"/>
        <v>310.64303654998389</v>
      </c>
      <c r="Q21" s="63">
        <f t="shared" ca="1" si="5"/>
        <v>316.41893779545654</v>
      </c>
    </row>
    <row r="22" spans="3:17" ht="16.5" thickTop="1" thickBot="1" x14ac:dyDescent="0.4">
      <c r="C22" s="8" t="s">
        <v>35</v>
      </c>
      <c r="D22" s="200">
        <f ca="1">'[8]Total Distance Tables'!$B$164</f>
        <v>249.6655534436</v>
      </c>
      <c r="E22" s="200">
        <f t="shared" ref="E22" ca="1" si="6">D22*4/5 + I22/5</f>
        <v>254.89315548211232</v>
      </c>
      <c r="F22" s="200">
        <f t="shared" ref="F22" ca="1" si="7">D22*3/5+I22*2/5</f>
        <v>260.12075752062469</v>
      </c>
      <c r="G22" s="200">
        <f t="shared" ref="G22" ca="1" si="8">D22*2/5+I22*3/5</f>
        <v>265.34835955913695</v>
      </c>
      <c r="H22" s="200">
        <f t="shared" ref="H22" ca="1" si="9">D22/5+I22*4/5</f>
        <v>270.57596159764933</v>
      </c>
      <c r="I22" s="200">
        <f ca="1">'[8]Total Distance Tables'!C$164</f>
        <v>275.80356363616164</v>
      </c>
      <c r="J22" s="200">
        <f ca="1">'[8]Total Distance Tables'!D$164</f>
        <v>289.95999580639972</v>
      </c>
      <c r="K22" s="200">
        <f ca="1">'[8]Total Distance Tables'!E$164</f>
        <v>297.65402059249112</v>
      </c>
      <c r="L22" s="200">
        <f ca="1">'[8]Total Distance Tables'!F$164</f>
        <v>302.01110749650701</v>
      </c>
      <c r="M22" s="200">
        <f ca="1">'[8]Total Distance Tables'!G$164</f>
        <v>300.59160876553324</v>
      </c>
      <c r="N22" s="200">
        <f ca="1">'[8]Total Distance Tables'!H$164</f>
        <v>297.45891414183973</v>
      </c>
      <c r="O22" s="200">
        <f ca="1">'[8]Total Distance Tables'!I$164</f>
        <v>304.41510825051773</v>
      </c>
      <c r="P22" s="200">
        <f ca="1">'[8]Total Distance Tables'!J$164</f>
        <v>310.64303654998389</v>
      </c>
      <c r="Q22" s="201">
        <f ca="1">'[8]Total Distance Tables'!K$164</f>
        <v>316.41893779545654</v>
      </c>
    </row>
    <row r="23" spans="3:17" ht="16" thickTop="1" x14ac:dyDescent="0.35">
      <c r="C23" s="128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3:17" ht="13" thickBot="1" x14ac:dyDescent="0.3"/>
    <row r="25" spans="3:17" ht="16.5" thickTop="1" thickBot="1" x14ac:dyDescent="0.4">
      <c r="C25" s="32" t="s">
        <v>100</v>
      </c>
      <c r="D25" s="34"/>
      <c r="E25" s="34"/>
      <c r="F25" s="34"/>
      <c r="G25" s="34"/>
      <c r="H25" s="34"/>
      <c r="I25" s="35"/>
    </row>
    <row r="26" spans="3:17" ht="14" thickTop="1" thickBot="1" x14ac:dyDescent="0.35">
      <c r="C26" s="122"/>
      <c r="D26" s="71" t="s">
        <v>25</v>
      </c>
      <c r="E26" s="71" t="s">
        <v>37</v>
      </c>
      <c r="F26" s="33" t="s">
        <v>38</v>
      </c>
      <c r="G26" s="71" t="s">
        <v>177</v>
      </c>
      <c r="H26" s="33" t="s">
        <v>178</v>
      </c>
      <c r="I26" s="97" t="s">
        <v>26</v>
      </c>
    </row>
    <row r="27" spans="3:17" ht="14" thickTop="1" thickBot="1" x14ac:dyDescent="0.3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2" t="s">
        <v>39</v>
      </c>
    </row>
    <row r="28" spans="3:17" ht="31.5" thickTop="1" x14ac:dyDescent="0.35">
      <c r="C28" s="123" t="s">
        <v>23</v>
      </c>
      <c r="D28" s="98">
        <f>SUM('[1]12_13 fleet'!$D$99:$D$112)+SUM('[1]12_13 fleet'!$D$114:$D$127)</f>
        <v>137947</v>
      </c>
      <c r="E28" s="98">
        <f>SUM('[2]13_14 fleet'!$D$100:$D$113)+SUM('[2]13_14 fleet'!$D$115:$D$128)</f>
        <v>144467</v>
      </c>
      <c r="F28" s="98">
        <f>SUM('[3]14_15 fleet'!$D$100:$D$113)+SUM('[3]14_15 fleet'!$D$115:$D$128)</f>
        <v>152683</v>
      </c>
      <c r="G28" s="98">
        <f>SUM('[4]15_16 fleet'!$D$100:$D$113)+SUM('[4]15_16 fleet'!$D$115:$D$128)</f>
        <v>158161</v>
      </c>
      <c r="H28" s="210">
        <f>SUM('[5]16_17 fleet_v2'!$D$100:$D$113)+SUM('[5]16_17 fleet_v2'!$D$115:$D$128)</f>
        <v>161767</v>
      </c>
      <c r="I28" s="196">
        <f>SUM('[6]17_18 fleet_v3'!$D$101:$D$114)+SUM('[6]17_18 fleet_v3'!$D$116:$D$129)</f>
        <v>165741</v>
      </c>
    </row>
    <row r="29" spans="3:17" ht="16" thickBot="1" x14ac:dyDescent="0.4">
      <c r="C29" s="25" t="s">
        <v>97</v>
      </c>
      <c r="D29" s="98">
        <f>'[1]12_13 fleet'!$D$98+'[1]12_13 fleet'!$D$113</f>
        <v>6001</v>
      </c>
      <c r="E29" s="98">
        <f>'[2]13_14 fleet'!$D$99+'[2]13_14 fleet'!$D$114</f>
        <v>4098</v>
      </c>
      <c r="F29" s="98">
        <f>'[3]14_15 fleet'!$D$99+'[3]14_15 fleet'!$D$114</f>
        <v>1990</v>
      </c>
      <c r="G29" s="98">
        <f>'[4]15_16 fleet'!$D$99+'[4]15_16 fleet'!$D$114</f>
        <v>2033</v>
      </c>
      <c r="H29" s="98">
        <f>'[5]16_17 fleet_v2'!$D$99+'[5]16_17 fleet_v2'!$D$114</f>
        <v>4283</v>
      </c>
      <c r="I29" s="99">
        <f>'[6]17_18 fleet_v3'!$D$100+'[6]17_18 fleet_v3'!$D$115</f>
        <v>6585</v>
      </c>
    </row>
    <row r="30" spans="3:17" ht="16.5" thickTop="1" thickBot="1" x14ac:dyDescent="0.4">
      <c r="C30" s="8" t="s">
        <v>98</v>
      </c>
      <c r="D30" s="104">
        <f>D28+D29</f>
        <v>143948</v>
      </c>
      <c r="E30" s="102">
        <f>E28+E29</f>
        <v>148565</v>
      </c>
      <c r="F30" s="102">
        <f>F28+F29</f>
        <v>154673</v>
      </c>
      <c r="G30" s="102">
        <f t="shared" ref="G30:H30" si="10">G28+G29</f>
        <v>160194</v>
      </c>
      <c r="H30" s="102">
        <f t="shared" si="10"/>
        <v>166050</v>
      </c>
      <c r="I30" s="103">
        <f t="shared" ref="I30" si="11">I28+I29</f>
        <v>172326</v>
      </c>
    </row>
    <row r="31" spans="3:17" ht="32" thickTop="1" thickBot="1" x14ac:dyDescent="0.4">
      <c r="C31" s="31" t="s">
        <v>99</v>
      </c>
      <c r="D31" s="100">
        <f>SUM('[1]12_13 fleet'!$D$98:$D$127)</f>
        <v>143948</v>
      </c>
      <c r="E31" s="100">
        <f>SUM('[2]13_14 fleet'!$D$99:$D$128)</f>
        <v>148565</v>
      </c>
      <c r="F31" s="100">
        <f>SUM('[3]14_15 fleet'!$D$99:$D$128)</f>
        <v>154673</v>
      </c>
      <c r="G31" s="100">
        <f>SUM('[4]15_16 fleet'!$D$99:$D$128)</f>
        <v>160194</v>
      </c>
      <c r="H31" s="100">
        <f>SUM('[5]16_17 fleet_v2'!$D$99:$D$128)</f>
        <v>166050</v>
      </c>
      <c r="I31" s="101">
        <f>SUM('[6]17_18 fleet_v3'!$D$100:$D$129)</f>
        <v>172326</v>
      </c>
    </row>
    <row r="32" spans="3:17" ht="16.5" thickTop="1" thickBot="1" x14ac:dyDescent="0.4">
      <c r="C32" s="31" t="s">
        <v>101</v>
      </c>
      <c r="D32" s="124">
        <f>D30/D28</f>
        <v>1.0435022146186579</v>
      </c>
      <c r="E32" s="125">
        <f>E30/E28</f>
        <v>1.028366339717721</v>
      </c>
      <c r="F32" s="125">
        <f>F30/F28</f>
        <v>1.0130335400797732</v>
      </c>
      <c r="G32" s="125">
        <f t="shared" ref="G32:H32" si="12">G30/G28</f>
        <v>1.0128539905539293</v>
      </c>
      <c r="H32" s="125">
        <f t="shared" si="12"/>
        <v>1.02647635178992</v>
      </c>
      <c r="I32" s="126">
        <f t="shared" ref="I32" si="13">I30/I28</f>
        <v>1.0397306641084583</v>
      </c>
    </row>
    <row r="33" ht="13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C2:Q240"/>
  <sheetViews>
    <sheetView tabSelected="1" zoomScale="90" zoomScaleNormal="90" workbookViewId="0">
      <selection activeCell="I225" sqref="I225"/>
    </sheetView>
  </sheetViews>
  <sheetFormatPr defaultRowHeight="12.5" x14ac:dyDescent="0.25"/>
  <cols>
    <col min="3" max="3" width="44" customWidth="1"/>
    <col min="4" max="11" width="17.81640625" customWidth="1"/>
    <col min="12" max="12" width="17.81640625" style="121" customWidth="1"/>
    <col min="13" max="17" width="17.81640625" customWidth="1"/>
  </cols>
  <sheetData>
    <row r="2" spans="3:17" ht="15.5" x14ac:dyDescent="0.35">
      <c r="C2" s="180" t="str">
        <f ca="1">INDIRECT(ADDRESS(D2+27,3,4,TRUE,"Car+SUV"))</f>
        <v>Northland</v>
      </c>
      <c r="D2" s="181">
        <v>1</v>
      </c>
    </row>
    <row r="3" spans="3:17" ht="13" thickBot="1" x14ac:dyDescent="0.3"/>
    <row r="4" spans="3:17" ht="16" thickTop="1" x14ac:dyDescent="0.35">
      <c r="C4" s="32" t="s">
        <v>46</v>
      </c>
      <c r="D4" s="183"/>
      <c r="E4" s="183"/>
      <c r="F4" s="183"/>
      <c r="G4" s="183"/>
      <c r="H4" s="183"/>
      <c r="I4" s="183"/>
      <c r="J4" s="40"/>
      <c r="K4" s="40"/>
      <c r="L4" s="40"/>
      <c r="M4" s="40"/>
      <c r="N4" s="40"/>
      <c r="O4" s="34"/>
      <c r="P4" s="34"/>
      <c r="Q4" s="35"/>
    </row>
    <row r="5" spans="3:17" ht="13.5" thickBot="1" x14ac:dyDescent="0.35">
      <c r="C5" s="36"/>
      <c r="D5" s="184" t="s">
        <v>25</v>
      </c>
      <c r="E5" s="184" t="s">
        <v>37</v>
      </c>
      <c r="F5" s="184" t="s">
        <v>38</v>
      </c>
      <c r="G5" s="37" t="s">
        <v>177</v>
      </c>
      <c r="H5" s="37" t="s">
        <v>178</v>
      </c>
      <c r="I5" s="184" t="s">
        <v>26</v>
      </c>
      <c r="J5" s="184" t="s">
        <v>27</v>
      </c>
      <c r="K5" s="184" t="s">
        <v>28</v>
      </c>
      <c r="L5" s="184" t="s">
        <v>29</v>
      </c>
      <c r="M5" s="184" t="s">
        <v>30</v>
      </c>
      <c r="N5" s="184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185" t="s">
        <v>39</v>
      </c>
      <c r="E6" s="186" t="s">
        <v>39</v>
      </c>
      <c r="F6" s="186" t="s">
        <v>39</v>
      </c>
      <c r="G6" s="65" t="s">
        <v>39</v>
      </c>
      <c r="H6" s="65" t="s">
        <v>39</v>
      </c>
      <c r="I6" s="186" t="s">
        <v>39</v>
      </c>
      <c r="J6" s="186" t="s">
        <v>32</v>
      </c>
      <c r="K6" s="186" t="s">
        <v>32</v>
      </c>
      <c r="L6" s="186" t="s">
        <v>32</v>
      </c>
      <c r="M6" s="186" t="s">
        <v>32</v>
      </c>
      <c r="N6" s="186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113</v>
      </c>
      <c r="D7" s="42">
        <f ca="1">INDIRECT(ADDRESS(D2+27,4,4,TRUE,"Car+SUV"))-D9</f>
        <v>91590.433398965193</v>
      </c>
      <c r="E7" s="40">
        <f ca="1">INDIRECT(ADDRESS(D2+27,5,4,TRUE,"Car+SUV"))-E9</f>
        <v>93181.739560679329</v>
      </c>
      <c r="F7" s="40">
        <f ca="1">INDIRECT(ADDRESS($D2+27,6,4,TRUE,"Car+SUV"))-F9</f>
        <v>94055.597236680318</v>
      </c>
      <c r="G7" s="40">
        <f ca="1">INDIRECT(ADDRESS($D2+27,7,4,TRUE,"Car+SUV"))-G9</f>
        <v>97432.95872562255</v>
      </c>
      <c r="H7" s="40">
        <f ca="1">INDIRECT(ADDRESS($D2+27,8,4,TRUE,"Car+SUV"))-H9</f>
        <v>101629.07061395075</v>
      </c>
      <c r="I7" s="40">
        <f ca="1">INDIRECT(ADDRESS(D2+27,9,4,TRUE,"Car+SUV"))-I9</f>
        <v>107772.87965411866</v>
      </c>
      <c r="J7" s="40">
        <f ca="1">INDIRECT(ADDRESS(D2+27,10,4,TRUE,"Car+SUV"))-J9</f>
        <v>116855.51691727553</v>
      </c>
      <c r="K7" s="40">
        <f ca="1">INDIRECT(ADDRESS(D2+27,11,4,TRUE,"Car+SUV"))-K9</f>
        <v>112785.36894534413</v>
      </c>
      <c r="L7" s="40">
        <f ca="1">INDIRECT(ADDRESS(D2+27,12,4,TRUE,"Car+SUV"))-L9</f>
        <v>106893.69086561436</v>
      </c>
      <c r="M7" s="40">
        <f ca="1">INDIRECT(ADDRESS(D2+27,13,4,TRUE,"Car+SUV"))-M9</f>
        <v>99165.421509512918</v>
      </c>
      <c r="N7" s="40">
        <f ca="1">INDIRECT(ADDRESS(D2+27,14,4,TRUE,"Car+SUV"))-N9</f>
        <v>90693.466620500098</v>
      </c>
      <c r="O7" s="40">
        <f ca="1">INDIRECT(ADDRESS(D2+27,15,4,TRUE,"Car+SUV"))-O9</f>
        <v>80259.310332300156</v>
      </c>
      <c r="P7" s="40">
        <f ca="1">INDIRECT(ADDRESS(D2+27,16,4,TRUE,"Car+SUV"))-P9</f>
        <v>69329.031257282011</v>
      </c>
      <c r="Q7" s="41">
        <f ca="1">INDIRECT(ADDRESS(D2+27,17,4,TRUE,"Car+SUV"))-Q9</f>
        <v>57984.889295818401</v>
      </c>
    </row>
    <row r="8" spans="3:17" ht="15.5" x14ac:dyDescent="0.35">
      <c r="C8" s="24" t="s">
        <v>114</v>
      </c>
      <c r="D8" s="42">
        <f ca="1">INDIRECT(ADDRESS(D2+27,4,4,TRUE,"Van+Ute"))-D10</f>
        <v>20960.234399180976</v>
      </c>
      <c r="E8" s="43">
        <f ca="1">INDIRECT(ADDRESS(D2+27,5,4,TRUE,"Van+Ute"))-E10</f>
        <v>21780.604458978953</v>
      </c>
      <c r="F8" s="43">
        <f ca="1">INDIRECT(ADDRESS($D2+27,6,4,TRUE,"Van+Ute"))-F10</f>
        <v>22852.06576636824</v>
      </c>
      <c r="G8" s="43">
        <f ca="1">INDIRECT(ADDRESS($D2+27,7,4,TRUE,"Van+Ute"))-G10</f>
        <v>24172.826346203859</v>
      </c>
      <c r="H8" s="43">
        <f ca="1">INDIRECT(ADDRESS($D2+27,8,4,TRUE,"Van+Ute"))-H10</f>
        <v>26029.68208592575</v>
      </c>
      <c r="I8" s="43">
        <f ca="1">INDIRECT(ADDRESS(D2+27,9,4,TRUE,"Van+Ute"))-I10</f>
        <v>27744.517571691162</v>
      </c>
      <c r="J8" s="43">
        <f ca="1">INDIRECT(ADDRESS(D2+27,10,4,TRUE,"Van+Ute"))-J10</f>
        <v>30458.722625878196</v>
      </c>
      <c r="K8" s="43">
        <f ca="1">INDIRECT(ADDRESS(D2+27,11,4,TRUE,"Van+Ute"))-K10</f>
        <v>30496.517677430194</v>
      </c>
      <c r="L8" s="43">
        <f ca="1">INDIRECT(ADDRESS(D2+27,12,4,TRUE,"Van+Ute"))-L10</f>
        <v>30163.77405539808</v>
      </c>
      <c r="M8" s="43">
        <f ca="1">INDIRECT(ADDRESS(D2+27,13,4,TRUE,"Van+Ute"))-M10</f>
        <v>29518.062272875926</v>
      </c>
      <c r="N8" s="43">
        <f ca="1">INDIRECT(ADDRESS(D2+27,14,4,TRUE,"Van+Ute"))-N10</f>
        <v>28799.221248650327</v>
      </c>
      <c r="O8" s="43">
        <f ca="1">INDIRECT(ADDRESS(D2+27,15,4,TRUE,"Van+Ute"))-O10</f>
        <v>27753.168134796641</v>
      </c>
      <c r="P8" s="43">
        <f ca="1">INDIRECT(ADDRESS(D2+27,16,4,TRUE,"Van+Ute"))-P10</f>
        <v>26601.935081394397</v>
      </c>
      <c r="Q8" s="44">
        <f ca="1">INDIRECT(ADDRESS(D2+27,17,4,TRUE,"Van+Ute"))-Q10</f>
        <v>25319.511858489728</v>
      </c>
    </row>
    <row r="9" spans="3:17" ht="15.5" x14ac:dyDescent="0.35">
      <c r="C9" s="24" t="s">
        <v>115</v>
      </c>
      <c r="D9" s="42">
        <f ca="1">INDIRECT(ADDRESS(D2+150,4,4,TRUE,"Car+SUV"))</f>
        <v>123.03149404685699</v>
      </c>
      <c r="E9" s="43">
        <f ca="1">INDIRECT(ADDRESS(D2+150,5,4,TRUE,"Car+SUV"))</f>
        <v>143.03603830645162</v>
      </c>
      <c r="F9" s="43">
        <f ca="1">INDIRECT(ADDRESS($D2+150,6,4,TRUE,"Car+SUV"))</f>
        <v>141.03322337417532</v>
      </c>
      <c r="G9" s="43">
        <f ca="1">INDIRECT(ADDRESS($D2+150,7,4,TRUE,"Car+SUV"))</f>
        <v>150.03042287800423</v>
      </c>
      <c r="H9" s="43">
        <f ca="1">INDIRECT(ADDRESS($D2+150,8,4,TRUE,"Car+SUV"))</f>
        <v>136.02628527251642</v>
      </c>
      <c r="I9" s="43">
        <f ca="1">INDIRECT(ADDRESS(D2+150,9,4,TRUE,"Car+SUV"))</f>
        <v>150.01854714064913</v>
      </c>
      <c r="J9" s="43">
        <f ca="1">INDIRECT(ADDRESS(D2+150,10,4,TRUE,"Car+SUV"))</f>
        <v>176.15315801767716</v>
      </c>
      <c r="K9" s="43">
        <f ca="1">INDIRECT(ADDRESS(D2+150,11,4,TRUE,"Car+SUV"))</f>
        <v>4465.5408489257416</v>
      </c>
      <c r="L9" s="43">
        <f ca="1">INDIRECT(ADDRESS(D2+150,12,4,TRUE,"Car+SUV"))</f>
        <v>9061.5228815073115</v>
      </c>
      <c r="M9" s="43">
        <f ca="1">INDIRECT(ADDRESS(D2+150,13,4,TRUE,"Car+SUV"))</f>
        <v>13811.965066038594</v>
      </c>
      <c r="N9" s="43">
        <f ca="1">INDIRECT(ADDRESS(D2+150,14,4,TRUE,"Car+SUV"))</f>
        <v>18666.387273845383</v>
      </c>
      <c r="O9" s="43">
        <f ca="1">INDIRECT(ADDRESS(D2+150,15,4,TRUE,"Car+SUV"))</f>
        <v>23621.226489059747</v>
      </c>
      <c r="P9" s="43">
        <f ca="1">INDIRECT(ADDRESS(D2+150,16,4,TRUE,"Car+SUV"))</f>
        <v>28638.270379952126</v>
      </c>
      <c r="Q9" s="44">
        <f ca="1">INDIRECT(ADDRESS(D2+150,17,4,TRUE,"Car+SUV"))</f>
        <v>33713.003046337239</v>
      </c>
    </row>
    <row r="10" spans="3:17" ht="15.5" x14ac:dyDescent="0.35">
      <c r="C10" s="24" t="s">
        <v>116</v>
      </c>
      <c r="D10" s="42">
        <f ca="1">INDIRECT(ADDRESS(D2+150,4,4,TRUE,"Van+Ute"))</f>
        <v>79</v>
      </c>
      <c r="E10" s="43">
        <f ca="1">INDIRECT(ADDRESS(D2+150,5,4,TRUE,"Van+Ute"))</f>
        <v>79</v>
      </c>
      <c r="F10" s="43">
        <f ca="1">INDIRECT(ADDRESS($D2+150,6,4,TRUE,"Van+Ute"))</f>
        <v>76</v>
      </c>
      <c r="G10" s="43">
        <f ca="1">INDIRECT(ADDRESS($D2+150,7,4,TRUE,"Van+Ute"))</f>
        <v>81</v>
      </c>
      <c r="H10" s="43">
        <f ca="1">INDIRECT(ADDRESS($D2+150,8,4,TRUE,"Van+Ute"))</f>
        <v>90</v>
      </c>
      <c r="I10" s="43">
        <f ca="1">INDIRECT(ADDRESS(D2+150,9,4,TRUE,"Van+Ute"))</f>
        <v>90</v>
      </c>
      <c r="J10" s="43">
        <f ca="1">INDIRECT(ADDRESS(D2+150,10,4,TRUE,"Van+Ute"))</f>
        <v>105.6788278767112</v>
      </c>
      <c r="K10" s="43">
        <f ca="1">INDIRECT(ADDRESS(D2+150,11,4,TRUE,"Van+Ute"))</f>
        <v>1250.7101953165579</v>
      </c>
      <c r="L10" s="43">
        <f ca="1">INDIRECT(ADDRESS(D2+150,12,4,TRUE,"Van+Ute"))</f>
        <v>2476.7662059185418</v>
      </c>
      <c r="M10" s="43">
        <f ca="1">INDIRECT(ADDRESS(D2+150,13,4,TRUE,"Van+Ute"))</f>
        <v>3743.8350749223032</v>
      </c>
      <c r="N10" s="43">
        <f ca="1">INDIRECT(ADDRESS(D2+150,14,4,TRUE,"Van+Ute"))</f>
        <v>5039.1892999815527</v>
      </c>
      <c r="O10" s="43">
        <f ca="1">INDIRECT(ADDRESS(D2+150,15,4,TRUE,"Van+Ute"))</f>
        <v>6360.6967823596897</v>
      </c>
      <c r="P10" s="43">
        <f ca="1">INDIRECT(ADDRESS(D2+150,16,4,TRUE,"Van+Ute"))</f>
        <v>7699.5212532450078</v>
      </c>
      <c r="Q10" s="44">
        <f ca="1">INDIRECT(ADDRESS(D2+150,17,4,TRUE,"Van+Ute"))</f>
        <v>9054.5818663913979</v>
      </c>
    </row>
    <row r="11" spans="3:17" ht="15.5" x14ac:dyDescent="0.35">
      <c r="C11" s="24" t="s">
        <v>43</v>
      </c>
      <c r="D11" s="187" t="s">
        <v>108</v>
      </c>
      <c r="E11" s="188" t="s">
        <v>108</v>
      </c>
      <c r="F11" s="188" t="s">
        <v>108</v>
      </c>
      <c r="G11" s="188" t="s">
        <v>108</v>
      </c>
      <c r="H11" s="188" t="s">
        <v>108</v>
      </c>
      <c r="I11" s="188" t="s">
        <v>108</v>
      </c>
      <c r="J11" s="188" t="s">
        <v>108</v>
      </c>
      <c r="K11" s="188" t="s">
        <v>108</v>
      </c>
      <c r="L11" s="188" t="s">
        <v>108</v>
      </c>
      <c r="M11" s="188" t="s">
        <v>108</v>
      </c>
      <c r="N11" s="188" t="s">
        <v>108</v>
      </c>
      <c r="O11" s="188" t="s">
        <v>108</v>
      </c>
      <c r="P11" s="188" t="s">
        <v>108</v>
      </c>
      <c r="Q11" s="194" t="s">
        <v>108</v>
      </c>
    </row>
    <row r="12" spans="3:17" ht="15.5" x14ac:dyDescent="0.35">
      <c r="C12" s="24" t="s">
        <v>44</v>
      </c>
      <c r="D12" s="187" t="s">
        <v>108</v>
      </c>
      <c r="E12" s="188" t="s">
        <v>108</v>
      </c>
      <c r="F12" s="188" t="s">
        <v>108</v>
      </c>
      <c r="G12" s="188" t="s">
        <v>108</v>
      </c>
      <c r="H12" s="188" t="s">
        <v>108</v>
      </c>
      <c r="I12" s="188" t="s">
        <v>108</v>
      </c>
      <c r="J12" s="188" t="s">
        <v>108</v>
      </c>
      <c r="K12" s="188" t="s">
        <v>108</v>
      </c>
      <c r="L12" s="188" t="s">
        <v>108</v>
      </c>
      <c r="M12" s="188" t="s">
        <v>108</v>
      </c>
      <c r="N12" s="188" t="s">
        <v>108</v>
      </c>
      <c r="O12" s="188" t="s">
        <v>108</v>
      </c>
      <c r="P12" s="188" t="s">
        <v>108</v>
      </c>
      <c r="Q12" s="194" t="s">
        <v>108</v>
      </c>
    </row>
    <row r="13" spans="3:17" ht="16" thickBot="1" x14ac:dyDescent="0.4">
      <c r="C13" s="24" t="s">
        <v>42</v>
      </c>
      <c r="D13" s="42">
        <f ca="1">INDIRECT(ADDRESS(D2+27,4,4,TRUE,"Motorcycle"))</f>
        <v>4131.2252676752669</v>
      </c>
      <c r="E13" s="43">
        <f ca="1">INDIRECT(ADDRESS(D2+27,5,4,TRUE,"Motorcycle"))</f>
        <v>4245.0962503547526</v>
      </c>
      <c r="F13" s="43">
        <f ca="1">INDIRECT(ADDRESS($D2+27,6,4,TRUE,"Motorcycle"))</f>
        <v>4388.4612956255778</v>
      </c>
      <c r="G13" s="43">
        <f ca="1">INDIRECT(ADDRESS($D2+27,7,4,TRUE,"Motorcycle"))</f>
        <v>4578.1000373037605</v>
      </c>
      <c r="H13" s="43">
        <f ca="1">INDIRECT(ADDRESS($D2+27,8,4,TRUE,"Motorcycle"))</f>
        <v>4820.3329480054645</v>
      </c>
      <c r="I13" s="43">
        <f ca="1">INDIRECT(ADDRESS(D2+27,9,4,TRUE,"Motorcycle"))</f>
        <v>5055.1704888953245</v>
      </c>
      <c r="J13" s="43">
        <f ca="1">INDIRECT(ADDRESS(D2+27,10,4,TRUE,"Motorcycle"))</f>
        <v>5310.8195701622353</v>
      </c>
      <c r="K13" s="43">
        <f ca="1">INDIRECT(ADDRESS(D2+27,11,4,TRUE,"Motorcycle"))</f>
        <v>5448.6748305429246</v>
      </c>
      <c r="L13" s="43">
        <f ca="1">INDIRECT(ADDRESS(D2+27,12,4,TRUE,"Motorcycle"))</f>
        <v>5517.5189283224163</v>
      </c>
      <c r="M13" s="43">
        <f ca="1">INDIRECT(ADDRESS(D2+27,13,4,TRUE,"Motorcycle"))</f>
        <v>5479.6020469236064</v>
      </c>
      <c r="N13" s="43">
        <f ca="1">INDIRECT(ADDRESS(D2+27,14,4,TRUE,"Motorcycle"))</f>
        <v>5405.5650454363704</v>
      </c>
      <c r="O13" s="43">
        <f ca="1">INDIRECT(ADDRESS(D2+27,15,4,TRUE,"Motorcycle"))</f>
        <v>5515.3199655748494</v>
      </c>
      <c r="P13" s="43">
        <f ca="1">INDIRECT(ADDRESS(D2+27,16,4,TRUE,"Motorcycle"))</f>
        <v>5611.8767580773228</v>
      </c>
      <c r="Q13" s="44">
        <f ca="1">INDIRECT(ADDRESS(D2+27,17,4,TRUE,"Motorcycle"))</f>
        <v>5700.4037747727298</v>
      </c>
    </row>
    <row r="14" spans="3:17" ht="16.5" thickTop="1" thickBot="1" x14ac:dyDescent="0.4">
      <c r="C14" s="31" t="s">
        <v>45</v>
      </c>
      <c r="D14" s="189">
        <f ca="1">SUM(D7:D13)</f>
        <v>116883.92455986829</v>
      </c>
      <c r="E14" s="48">
        <f t="shared" ref="E14:N14" ca="1" si="0">SUM(E7:E13)</f>
        <v>119429.47630831948</v>
      </c>
      <c r="F14" s="48">
        <f t="shared" ca="1" si="0"/>
        <v>121513.15752204831</v>
      </c>
      <c r="G14" s="48">
        <f t="shared" ca="1" si="0"/>
        <v>126414.91553200816</v>
      </c>
      <c r="H14" s="48">
        <f t="shared" ca="1" si="0"/>
        <v>132705.11193315446</v>
      </c>
      <c r="I14" s="48">
        <f t="shared" ca="1" si="0"/>
        <v>140812.58626184578</v>
      </c>
      <c r="J14" s="48">
        <f t="shared" ca="1" si="0"/>
        <v>152906.89109921036</v>
      </c>
      <c r="K14" s="48">
        <f t="shared" ca="1" si="0"/>
        <v>154446.81249755956</v>
      </c>
      <c r="L14" s="48">
        <f t="shared" ca="1" si="0"/>
        <v>154113.27293676071</v>
      </c>
      <c r="M14" s="48">
        <f t="shared" ca="1" si="0"/>
        <v>151718.88597027335</v>
      </c>
      <c r="N14" s="48">
        <f t="shared" ca="1" si="0"/>
        <v>148603.82948841373</v>
      </c>
      <c r="O14" s="48">
        <f t="shared" ref="O14:Q14" ca="1" si="1">SUM(O7:O13)</f>
        <v>143509.72170409109</v>
      </c>
      <c r="P14" s="48">
        <f t="shared" ca="1" si="1"/>
        <v>137880.63472995086</v>
      </c>
      <c r="Q14" s="49">
        <f t="shared" ca="1" si="1"/>
        <v>131772.38984180949</v>
      </c>
    </row>
    <row r="15" spans="3:17" ht="13" thickTop="1" x14ac:dyDescent="0.25"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43"/>
    </row>
    <row r="16" spans="3:17" ht="13" thickBot="1" x14ac:dyDescent="0.3"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43"/>
    </row>
    <row r="17" spans="3:17" ht="16.5" thickTop="1" thickBot="1" x14ac:dyDescent="0.4">
      <c r="C17" s="180" t="str">
        <f ca="1">INDIRECT(ADDRESS(D17+27,3,4,TRUE,"Car+SUV"))</f>
        <v>Auckland</v>
      </c>
      <c r="D17" s="190">
        <v>2</v>
      </c>
      <c r="E17" s="145" t="s">
        <v>170</v>
      </c>
      <c r="F17" s="145"/>
      <c r="G17" s="145"/>
      <c r="H17" s="145"/>
      <c r="I17" s="145"/>
      <c r="J17" s="145"/>
      <c r="K17" s="145"/>
      <c r="L17" s="145"/>
      <c r="M17" s="145"/>
      <c r="N17" s="43"/>
    </row>
    <row r="18" spans="3:17" ht="13.5" thickTop="1" thickBot="1" x14ac:dyDescent="0.3"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43"/>
    </row>
    <row r="19" spans="3:17" ht="16" thickTop="1" x14ac:dyDescent="0.35">
      <c r="C19" s="32" t="s">
        <v>46</v>
      </c>
      <c r="D19" s="183"/>
      <c r="E19" s="183"/>
      <c r="F19" s="183"/>
      <c r="G19" s="183"/>
      <c r="H19" s="183"/>
      <c r="I19" s="183"/>
      <c r="J19" s="40"/>
      <c r="K19" s="40"/>
      <c r="L19" s="40"/>
      <c r="M19" s="40"/>
      <c r="N19" s="40"/>
      <c r="O19" s="34"/>
      <c r="P19" s="34"/>
      <c r="Q19" s="35"/>
    </row>
    <row r="20" spans="3:17" ht="13.5" thickBot="1" x14ac:dyDescent="0.35">
      <c r="C20" s="36"/>
      <c r="D20" s="184" t="s">
        <v>25</v>
      </c>
      <c r="E20" s="184" t="s">
        <v>37</v>
      </c>
      <c r="F20" s="184" t="s">
        <v>38</v>
      </c>
      <c r="G20" s="37" t="s">
        <v>177</v>
      </c>
      <c r="H20" s="37" t="s">
        <v>178</v>
      </c>
      <c r="I20" s="184" t="s">
        <v>26</v>
      </c>
      <c r="J20" s="184" t="s">
        <v>27</v>
      </c>
      <c r="K20" s="184" t="s">
        <v>28</v>
      </c>
      <c r="L20" s="184" t="s">
        <v>29</v>
      </c>
      <c r="M20" s="184" t="s">
        <v>30</v>
      </c>
      <c r="N20" s="184" t="s">
        <v>31</v>
      </c>
      <c r="O20" s="37" t="s">
        <v>174</v>
      </c>
      <c r="P20" s="37" t="s">
        <v>175</v>
      </c>
      <c r="Q20" s="38" t="s">
        <v>176</v>
      </c>
    </row>
    <row r="21" spans="3:17" ht="14" thickTop="1" thickBot="1" x14ac:dyDescent="0.35">
      <c r="C21" s="70"/>
      <c r="D21" s="185" t="s">
        <v>39</v>
      </c>
      <c r="E21" s="186" t="s">
        <v>39</v>
      </c>
      <c r="F21" s="186" t="s">
        <v>39</v>
      </c>
      <c r="G21" s="65" t="s">
        <v>39</v>
      </c>
      <c r="H21" s="65" t="s">
        <v>39</v>
      </c>
      <c r="I21" s="186" t="s">
        <v>39</v>
      </c>
      <c r="J21" s="186" t="s">
        <v>32</v>
      </c>
      <c r="K21" s="186" t="s">
        <v>32</v>
      </c>
      <c r="L21" s="186" t="s">
        <v>32</v>
      </c>
      <c r="M21" s="186" t="s">
        <v>32</v>
      </c>
      <c r="N21" s="186" t="s">
        <v>32</v>
      </c>
      <c r="O21" s="65" t="s">
        <v>32</v>
      </c>
      <c r="P21" s="65" t="s">
        <v>32</v>
      </c>
      <c r="Q21" s="66" t="s">
        <v>32</v>
      </c>
    </row>
    <row r="22" spans="3:17" ht="16" thickTop="1" x14ac:dyDescent="0.35">
      <c r="C22" s="24" t="s">
        <v>113</v>
      </c>
      <c r="D22" s="42">
        <f ca="1">INDIRECT(ADDRESS(D17+27,4,4,TRUE,"Car+SUV"))-D24</f>
        <v>900839.08030702965</v>
      </c>
      <c r="E22" s="40">
        <f ca="1">INDIRECT(ADDRESS(D17+27,5,4,TRUE,"Car+SUV"))-E24</f>
        <v>931301.26638497179</v>
      </c>
      <c r="F22" s="40">
        <f ca="1">INDIRECT(ADDRESS(D17+27,6,4,TRUE,"Car+SUV"))-F24</f>
        <v>982204.30754734203</v>
      </c>
      <c r="G22" s="40">
        <f ca="1">INDIRECT(ADDRESS($D17+27,7,4,TRUE,"Car+SUV"))-G24</f>
        <v>1023143.0047205616</v>
      </c>
      <c r="H22" s="40">
        <f ca="1">INDIRECT(ADDRESS($D17+27,8,4,TRUE,"Car+SUV"))-H24</f>
        <v>1065743.6695796847</v>
      </c>
      <c r="I22" s="40">
        <f ca="1">INDIRECT(ADDRESS(D17+27,9,4,TRUE,"Car+SUV"))-I24</f>
        <v>1071378.9151891817</v>
      </c>
      <c r="J22" s="40">
        <f ca="1">INDIRECT(ADDRESS(D17+27,10,4,TRUE,"Car+SUV"))-J24</f>
        <v>1184938.8212445951</v>
      </c>
      <c r="K22" s="40">
        <f ca="1">INDIRECT(ADDRESS(D17+27,11,4,TRUE,"Car+SUV"))-K24</f>
        <v>1172505.8166638899</v>
      </c>
      <c r="L22" s="40">
        <f ca="1">INDIRECT(ADDRESS(D17+27,12,4,TRUE,"Car+SUV"))-L24</f>
        <v>1141600.2777395041</v>
      </c>
      <c r="M22" s="40">
        <f ca="1">INDIRECT(ADDRESS(D17+27,13,4,TRUE,"Car+SUV"))-M24</f>
        <v>1093596.1670545526</v>
      </c>
      <c r="N22" s="40">
        <f ca="1">INDIRECT(ADDRESS(D17+27,14,4,TRUE,"Car+SUV"))-N24</f>
        <v>1036650.2395878882</v>
      </c>
      <c r="O22" s="40">
        <f ca="1">INDIRECT(ADDRESS(D17+27,15,4,TRUE,"Car+SUV"))-O24</f>
        <v>959869.3430389578</v>
      </c>
      <c r="P22" s="40">
        <f ca="1">INDIRECT(ADDRESS(D17+27,16,4,TRUE,"Car+SUV"))-P24</f>
        <v>874366.17500162509</v>
      </c>
      <c r="Q22" s="41">
        <f ca="1">INDIRECT(ADDRESS(D17+27,17,4,TRUE,"Car+SUV"))-Q24</f>
        <v>780179.82095768279</v>
      </c>
    </row>
    <row r="23" spans="3:17" ht="15.5" x14ac:dyDescent="0.35">
      <c r="C23" s="24" t="s">
        <v>114</v>
      </c>
      <c r="D23" s="42">
        <f ca="1">INDIRECT(ADDRESS(D17+27,4,4,TRUE,"Van+Ute"))-D25</f>
        <v>90473.225975803041</v>
      </c>
      <c r="E23" s="43">
        <f ca="1">INDIRECT(ADDRESS(D17+27,5,4,TRUE,"Van+Ute"))-E25</f>
        <v>95510.893128753683</v>
      </c>
      <c r="F23" s="43">
        <f ca="1">INDIRECT(ADDRESS(D17+27,6,4,TRUE,"Van+Ute"))-F25</f>
        <v>104424.23176403806</v>
      </c>
      <c r="G23" s="43">
        <f ca="1">INDIRECT(ADDRESS($D17+27,7,4,TRUE,"Van+Ute"))-G25</f>
        <v>116179.23109277598</v>
      </c>
      <c r="H23" s="43">
        <f ca="1">INDIRECT(ADDRESS($D17+27,8,4,TRUE,"Van+Ute"))-H25</f>
        <v>130414.45697052564</v>
      </c>
      <c r="I23" s="43">
        <f ca="1">INDIRECT(ADDRESS(D17+27,9,4,TRUE,"Van+Ute"))-I25</f>
        <v>137233.27709966881</v>
      </c>
      <c r="J23" s="43">
        <f ca="1">INDIRECT(ADDRESS(D17+27,10,4,TRUE,"Van+Ute"))-J25</f>
        <v>155471.5303350568</v>
      </c>
      <c r="K23" s="43">
        <f ca="1">INDIRECT(ADDRESS(D17+27,11,4,TRUE,"Van+Ute"))-K25</f>
        <v>163990.48489275243</v>
      </c>
      <c r="L23" s="43">
        <f ca="1">INDIRECT(ADDRESS(D17+27,12,4,TRUE,"Van+Ute"))-L25</f>
        <v>171498.62069780426</v>
      </c>
      <c r="M23" s="43">
        <f ca="1">INDIRECT(ADDRESS(D17+27,13,4,TRUE,"Van+Ute"))-M25</f>
        <v>178620.48789810558</v>
      </c>
      <c r="N23" s="43">
        <f ca="1">INDIRECT(ADDRESS(D17+27,14,4,TRUE,"Van+Ute"))-N25</f>
        <v>186323.20561945485</v>
      </c>
      <c r="O23" s="43">
        <f ca="1">INDIRECT(ADDRESS(D17+27,15,4,TRUE,"Van+Ute"))-O25</f>
        <v>193637.02875490836</v>
      </c>
      <c r="P23" s="43">
        <f ca="1">INDIRECT(ADDRESS(D17+27,16,4,TRUE,"Van+Ute"))-P25</f>
        <v>200669.83410788712</v>
      </c>
      <c r="Q23" s="44">
        <f ca="1">INDIRECT(ADDRESS(D17+27,17,4,TRUE,"Van+Ute"))-Q25</f>
        <v>206962.12572913343</v>
      </c>
    </row>
    <row r="24" spans="3:17" ht="15.5" x14ac:dyDescent="0.35">
      <c r="C24" s="24" t="s">
        <v>115</v>
      </c>
      <c r="D24" s="42">
        <f ca="1">INDIRECT(ADDRESS(D17+150,4,4,TRUE,"Car+SUV"))</f>
        <v>3589.9189604404046</v>
      </c>
      <c r="E24" s="43">
        <f ca="1">INDIRECT(ADDRESS(D17+150,5,4,TRUE,"Car+SUV"))</f>
        <v>3696.9314516129034</v>
      </c>
      <c r="F24" s="43">
        <f ca="1">INDIRECT(ADDRESS(D17+150,6,4,TRUE,"Car+SUV"))</f>
        <v>4125.9719604147031</v>
      </c>
      <c r="G24" s="43">
        <f ca="1">INDIRECT(ADDRESS($D17+150,7,4,TRUE,"Car+SUV"))</f>
        <v>5169.0481695568396</v>
      </c>
      <c r="H24" s="43">
        <f ca="1">INDIRECT(ADDRESS($D17+150,8,4,TRUE,"Car+SUV"))</f>
        <v>5343.0324700425199</v>
      </c>
      <c r="I24" s="43">
        <f ca="1">INDIRECT(ADDRESS(D17+150,9,4,TRUE,"Car+SUV"))</f>
        <v>8707.0764760432758</v>
      </c>
      <c r="J24" s="43">
        <f ca="1">INDIRECT(ADDRESS(D17+150,10,4,TRUE,"Car+SUV"))</f>
        <v>10404.181012226489</v>
      </c>
      <c r="K24" s="43">
        <f ca="1">INDIRECT(ADDRESS(D17+150,11,4,TRUE,"Car+SUV"))</f>
        <v>45717.276196636813</v>
      </c>
      <c r="L24" s="43">
        <f ca="1">INDIRECT(ADDRESS(D17+150,12,4,TRUE,"Car+SUV"))</f>
        <v>84340.795429859223</v>
      </c>
      <c r="M24" s="43">
        <f ca="1">INDIRECT(ADDRESS(D17+150,13,4,TRUE,"Car+SUV"))</f>
        <v>125218.53761014287</v>
      </c>
      <c r="N24" s="43">
        <f ca="1">INDIRECT(ADDRESS(D17+150,14,4,TRUE,"Car+SUV"))</f>
        <v>168260.76252853087</v>
      </c>
      <c r="O24" s="43">
        <f ca="1">INDIRECT(ADDRESS(D17+150,15,4,TRUE,"Car+SUV"))</f>
        <v>213367.09999579325</v>
      </c>
      <c r="P24" s="43">
        <f ca="1">INDIRECT(ADDRESS(D17+150,16,4,TRUE,"Car+SUV"))</f>
        <v>260295.43781167423</v>
      </c>
      <c r="Q24" s="44">
        <f ca="1">INDIRECT(ADDRESS(D17+150,17,4,TRUE,"Car+SUV"))</f>
        <v>308947.79101229162</v>
      </c>
    </row>
    <row r="25" spans="3:17" ht="15.5" x14ac:dyDescent="0.35">
      <c r="C25" s="24" t="s">
        <v>116</v>
      </c>
      <c r="D25" s="42">
        <f ca="1">INDIRECT(ADDRESS(D17+150,4,4,TRUE,"Van+Ute"))</f>
        <v>664</v>
      </c>
      <c r="E25" s="43">
        <f ca="1">INDIRECT(ADDRESS(D17+150,5,4,TRUE,"Van+Ute"))</f>
        <v>668</v>
      </c>
      <c r="F25" s="43">
        <f ca="1">INDIRECT(ADDRESS(D17+150,6,4,TRUE,"Van+Ute"))</f>
        <v>719</v>
      </c>
      <c r="G25" s="43">
        <f ca="1">INDIRECT(ADDRESS($D17+150,7,4,TRUE,"Van+Ute"))</f>
        <v>741</v>
      </c>
      <c r="H25" s="43">
        <f ca="1">INDIRECT(ADDRESS($D17+150,8,4,TRUE,"Van+Ute"))</f>
        <v>776</v>
      </c>
      <c r="I25" s="43">
        <f ca="1">INDIRECT(ADDRESS(D17+150,9,4,TRUE,"Van+Ute"))</f>
        <v>864</v>
      </c>
      <c r="J25" s="43">
        <f ca="1">INDIRECT(ADDRESS(D17+150,10,4,TRUE,"Van+Ute"))</f>
        <v>1032.4030596603443</v>
      </c>
      <c r="K25" s="43">
        <f ca="1">INDIRECT(ADDRESS(D17+150,11,4,TRUE,"Van+Ute"))</f>
        <v>4255.3038208080134</v>
      </c>
      <c r="L25" s="43">
        <f ca="1">INDIRECT(ADDRESS(D17+150,12,4,TRUE,"Van+Ute"))</f>
        <v>7778.8763852357688</v>
      </c>
      <c r="M25" s="43">
        <f ca="1">INDIRECT(ADDRESS(D17+150,13,4,TRUE,"Van+Ute"))</f>
        <v>11507.684380274954</v>
      </c>
      <c r="N25" s="43">
        <f ca="1">INDIRECT(ADDRESS(D17+150,14,4,TRUE,"Van+Ute"))</f>
        <v>15434.61679909972</v>
      </c>
      <c r="O25" s="43">
        <f ca="1">INDIRECT(ADDRESS(D17+150,15,4,TRUE,"Van+Ute"))</f>
        <v>19548.597703284995</v>
      </c>
      <c r="P25" s="43">
        <f ca="1">INDIRECT(ADDRESS(D17+150,16,4,TRUE,"Van+Ute"))</f>
        <v>23829.589199520029</v>
      </c>
      <c r="Q25" s="44">
        <f ca="1">INDIRECT(ADDRESS(D17+150,17,4,TRUE,"Van+Ute"))</f>
        <v>28268.866710390597</v>
      </c>
    </row>
    <row r="26" spans="3:17" ht="15.5" x14ac:dyDescent="0.35">
      <c r="C26" s="24" t="s">
        <v>43</v>
      </c>
      <c r="D26" s="187" t="s">
        <v>108</v>
      </c>
      <c r="E26" s="188" t="s">
        <v>108</v>
      </c>
      <c r="F26" s="188" t="s">
        <v>108</v>
      </c>
      <c r="G26" s="188" t="s">
        <v>108</v>
      </c>
      <c r="H26" s="188" t="s">
        <v>108</v>
      </c>
      <c r="I26" s="188" t="s">
        <v>108</v>
      </c>
      <c r="J26" s="188" t="s">
        <v>108</v>
      </c>
      <c r="K26" s="188" t="s">
        <v>108</v>
      </c>
      <c r="L26" s="188" t="s">
        <v>108</v>
      </c>
      <c r="M26" s="188" t="s">
        <v>108</v>
      </c>
      <c r="N26" s="188" t="s">
        <v>108</v>
      </c>
      <c r="O26" s="188" t="s">
        <v>108</v>
      </c>
      <c r="P26" s="188" t="s">
        <v>108</v>
      </c>
      <c r="Q26" s="194" t="s">
        <v>108</v>
      </c>
    </row>
    <row r="27" spans="3:17" ht="15.5" x14ac:dyDescent="0.35">
      <c r="C27" s="24" t="s">
        <v>44</v>
      </c>
      <c r="D27" s="187" t="s">
        <v>108</v>
      </c>
      <c r="E27" s="188" t="s">
        <v>108</v>
      </c>
      <c r="F27" s="188" t="s">
        <v>108</v>
      </c>
      <c r="G27" s="188" t="s">
        <v>108</v>
      </c>
      <c r="H27" s="188" t="s">
        <v>108</v>
      </c>
      <c r="I27" s="188" t="s">
        <v>108</v>
      </c>
      <c r="J27" s="188" t="s">
        <v>108</v>
      </c>
      <c r="K27" s="188" t="s">
        <v>108</v>
      </c>
      <c r="L27" s="188" t="s">
        <v>108</v>
      </c>
      <c r="M27" s="188" t="s">
        <v>108</v>
      </c>
      <c r="N27" s="188" t="s">
        <v>108</v>
      </c>
      <c r="O27" s="188" t="s">
        <v>108</v>
      </c>
      <c r="P27" s="188" t="s">
        <v>108</v>
      </c>
      <c r="Q27" s="194" t="s">
        <v>108</v>
      </c>
    </row>
    <row r="28" spans="3:17" ht="16" thickBot="1" x14ac:dyDescent="0.4">
      <c r="C28" s="24" t="s">
        <v>42</v>
      </c>
      <c r="D28" s="42">
        <f ca="1">INDIRECT(ADDRESS(D17+27,4,4,TRUE,"Motorcycle"))</f>
        <v>33394.157872226293</v>
      </c>
      <c r="E28" s="43">
        <f ca="1">INDIRECT(ADDRESS(D17+27,5,4,TRUE,"Motorcycle"))</f>
        <v>34890.413173942834</v>
      </c>
      <c r="F28" s="43">
        <f ca="1">INDIRECT(ADDRESS(D17+27,6,4,TRUE,"Motorcycle"))</f>
        <v>37206.695860049913</v>
      </c>
      <c r="G28" s="43">
        <f ca="1">INDIRECT(ADDRESS($D17+27,7,4,TRUE,"Motorcycle"))</f>
        <v>39060.714145712285</v>
      </c>
      <c r="H28" s="43">
        <f ca="1">INDIRECT(ADDRESS($D17+27,8,4,TRUE,"Motorcycle"))</f>
        <v>40771.640693095622</v>
      </c>
      <c r="I28" s="43">
        <f ca="1">INDIRECT(ADDRESS(D17+27,9,4,TRUE,"Motorcycle"))</f>
        <v>42022.79425127156</v>
      </c>
      <c r="J28" s="43">
        <f ca="1">INDIRECT(ADDRESS(D17+27,10,4,TRUE,"Motorcycle"))</f>
        <v>45086.071851073801</v>
      </c>
      <c r="K28" s="43">
        <f ca="1">INDIRECT(ADDRESS(D17+27,11,4,TRUE,"Motorcycle"))</f>
        <v>47027.861387493307</v>
      </c>
      <c r="L28" s="43">
        <f ca="1">INDIRECT(ADDRESS(D17+27,12,4,TRUE,"Motorcycle"))</f>
        <v>48481.336897709058</v>
      </c>
      <c r="M28" s="43">
        <f ca="1">INDIRECT(ADDRESS(D17+27,13,4,TRUE,"Motorcycle"))</f>
        <v>49019.244798967637</v>
      </c>
      <c r="N28" s="43">
        <f ca="1">INDIRECT(ADDRESS(D17+27,14,4,TRUE,"Motorcycle"))</f>
        <v>49278.568884597858</v>
      </c>
      <c r="O28" s="43">
        <f ca="1">INDIRECT(ADDRESS(D17+27,15,4,TRUE,"Motorcycle"))</f>
        <v>51228.849537864415</v>
      </c>
      <c r="P28" s="43">
        <f ca="1">INDIRECT(ADDRESS(D17+27,16,4,TRUE,"Motorcycle"))</f>
        <v>53100.808032607027</v>
      </c>
      <c r="Q28" s="44">
        <f ca="1">INDIRECT(ADDRESS(D17+27,17,4,TRUE,"Motorcycle"))</f>
        <v>54936.978580145231</v>
      </c>
    </row>
    <row r="29" spans="3:17" ht="16.5" thickTop="1" thickBot="1" x14ac:dyDescent="0.4">
      <c r="C29" s="31" t="s">
        <v>45</v>
      </c>
      <c r="D29" s="189">
        <f ca="1">SUM(D22:D28)</f>
        <v>1028960.3831154995</v>
      </c>
      <c r="E29" s="48">
        <f t="shared" ref="E29:N29" ca="1" si="2">SUM(E22:E28)</f>
        <v>1066067.5041392811</v>
      </c>
      <c r="F29" s="48">
        <f t="shared" ca="1" si="2"/>
        <v>1128680.2071318447</v>
      </c>
      <c r="G29" s="48">
        <f t="shared" ca="1" si="2"/>
        <v>1184292.9981286067</v>
      </c>
      <c r="H29" s="48">
        <f t="shared" ca="1" si="2"/>
        <v>1243048.7997133485</v>
      </c>
      <c r="I29" s="48">
        <f t="shared" ca="1" si="2"/>
        <v>1260206.0630161653</v>
      </c>
      <c r="J29" s="48">
        <f t="shared" ca="1" si="2"/>
        <v>1396933.0075026127</v>
      </c>
      <c r="K29" s="48">
        <f t="shared" ca="1" si="2"/>
        <v>1433496.7429615804</v>
      </c>
      <c r="L29" s="48">
        <f t="shared" ca="1" si="2"/>
        <v>1453699.9071501126</v>
      </c>
      <c r="M29" s="48">
        <f t="shared" ca="1" si="2"/>
        <v>1457962.1217420436</v>
      </c>
      <c r="N29" s="48">
        <f t="shared" ca="1" si="2"/>
        <v>1455947.3934195715</v>
      </c>
      <c r="O29" s="48">
        <f t="shared" ref="O29:Q29" ca="1" si="3">SUM(O22:O28)</f>
        <v>1437650.9190308088</v>
      </c>
      <c r="P29" s="48">
        <f t="shared" ca="1" si="3"/>
        <v>1412261.8441533134</v>
      </c>
      <c r="Q29" s="49">
        <f t="shared" ca="1" si="3"/>
        <v>1379295.5829896436</v>
      </c>
    </row>
    <row r="30" spans="3:17" ht="13" thickTop="1" x14ac:dyDescent="0.25"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43"/>
    </row>
    <row r="31" spans="3:17" ht="13" thickBot="1" x14ac:dyDescent="0.3"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43"/>
    </row>
    <row r="32" spans="3:17" ht="16.5" thickTop="1" thickBot="1" x14ac:dyDescent="0.4">
      <c r="C32" s="180" t="str">
        <f ca="1">INDIRECT(ADDRESS(D32+27,3,4,TRUE,"Car+SUV"))</f>
        <v>Waikato</v>
      </c>
      <c r="D32" s="190">
        <v>3</v>
      </c>
      <c r="E32" s="145" t="s">
        <v>170</v>
      </c>
      <c r="F32" s="145"/>
      <c r="G32" s="145"/>
      <c r="H32" s="145"/>
      <c r="I32" s="145"/>
      <c r="J32" s="145"/>
      <c r="K32" s="145"/>
      <c r="L32" s="145"/>
      <c r="M32" s="145"/>
      <c r="N32" s="43"/>
    </row>
    <row r="33" spans="3:17" ht="13.5" thickTop="1" thickBot="1" x14ac:dyDescent="0.3"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43"/>
    </row>
    <row r="34" spans="3:17" ht="16" thickTop="1" x14ac:dyDescent="0.35">
      <c r="C34" s="32" t="s">
        <v>46</v>
      </c>
      <c r="D34" s="183"/>
      <c r="E34" s="183"/>
      <c r="F34" s="183"/>
      <c r="G34" s="183"/>
      <c r="H34" s="183"/>
      <c r="I34" s="183"/>
      <c r="J34" s="40"/>
      <c r="K34" s="40"/>
      <c r="L34" s="40"/>
      <c r="M34" s="40"/>
      <c r="N34" s="40"/>
      <c r="O34" s="34"/>
      <c r="P34" s="34"/>
      <c r="Q34" s="35"/>
    </row>
    <row r="35" spans="3:17" ht="13.5" thickBot="1" x14ac:dyDescent="0.35">
      <c r="C35" s="36"/>
      <c r="D35" s="184" t="s">
        <v>25</v>
      </c>
      <c r="E35" s="184" t="s">
        <v>37</v>
      </c>
      <c r="F35" s="184" t="s">
        <v>38</v>
      </c>
      <c r="G35" s="37" t="s">
        <v>177</v>
      </c>
      <c r="H35" s="37" t="s">
        <v>178</v>
      </c>
      <c r="I35" s="184" t="s">
        <v>26</v>
      </c>
      <c r="J35" s="184" t="s">
        <v>27</v>
      </c>
      <c r="K35" s="184" t="s">
        <v>28</v>
      </c>
      <c r="L35" s="184" t="s">
        <v>29</v>
      </c>
      <c r="M35" s="184" t="s">
        <v>30</v>
      </c>
      <c r="N35" s="184" t="s">
        <v>31</v>
      </c>
      <c r="O35" s="37" t="s">
        <v>174</v>
      </c>
      <c r="P35" s="37" t="s">
        <v>175</v>
      </c>
      <c r="Q35" s="38" t="s">
        <v>176</v>
      </c>
    </row>
    <row r="36" spans="3:17" ht="14" thickTop="1" thickBot="1" x14ac:dyDescent="0.35">
      <c r="C36" s="70"/>
      <c r="D36" s="185" t="s">
        <v>39</v>
      </c>
      <c r="E36" s="186" t="s">
        <v>39</v>
      </c>
      <c r="F36" s="186" t="s">
        <v>39</v>
      </c>
      <c r="G36" s="65" t="s">
        <v>39</v>
      </c>
      <c r="H36" s="65" t="s">
        <v>39</v>
      </c>
      <c r="I36" s="186" t="s">
        <v>39</v>
      </c>
      <c r="J36" s="186" t="s">
        <v>32</v>
      </c>
      <c r="K36" s="186" t="s">
        <v>32</v>
      </c>
      <c r="L36" s="186" t="s">
        <v>32</v>
      </c>
      <c r="M36" s="186" t="s">
        <v>32</v>
      </c>
      <c r="N36" s="186" t="s">
        <v>32</v>
      </c>
      <c r="O36" s="65" t="s">
        <v>32</v>
      </c>
      <c r="P36" s="65" t="s">
        <v>32</v>
      </c>
      <c r="Q36" s="66" t="s">
        <v>32</v>
      </c>
    </row>
    <row r="37" spans="3:17" ht="16" thickTop="1" x14ac:dyDescent="0.35">
      <c r="C37" s="24" t="s">
        <v>113</v>
      </c>
      <c r="D37" s="42">
        <f ca="1">INDIRECT(ADDRESS(D32+27,4,4,TRUE,"Car+SUV"))-D39</f>
        <v>253366.30300873419</v>
      </c>
      <c r="E37" s="40">
        <f ca="1">INDIRECT(ADDRESS(D32+27,5,4,TRUE,"Car+SUV"))-E39</f>
        <v>261696.02139996478</v>
      </c>
      <c r="F37" s="40">
        <f ca="1">INDIRECT(ADDRESS(D32+27,6,4,TRUE,"Car+SUV"))-F39</f>
        <v>269190.61174762959</v>
      </c>
      <c r="G37" s="40">
        <f ca="1">INDIRECT(ADDRESS($D32+27,7,4,TRUE,"Car+SUV"))-G39</f>
        <v>279728.49855948868</v>
      </c>
      <c r="H37" s="40">
        <f ca="1">INDIRECT(ADDRESS($D32+27,8,4,TRUE,"Car+SUV"))-H39</f>
        <v>289118.17545982997</v>
      </c>
      <c r="I37" s="40">
        <f ca="1">INDIRECT(ADDRESS(D32+27,9,4,TRUE,"Car+SUV"))-I39</f>
        <v>285841.43968920049</v>
      </c>
      <c r="J37" s="40">
        <f ca="1">INDIRECT(ADDRESS(D32+27,10,4,TRUE,"Car+SUV"))-J39</f>
        <v>311267.77764239133</v>
      </c>
      <c r="K37" s="40">
        <f ca="1">INDIRECT(ADDRESS(D32+27,11,4,TRUE,"Car+SUV"))-K39</f>
        <v>302120.00300507451</v>
      </c>
      <c r="L37" s="40">
        <f ca="1">INDIRECT(ADDRESS(D32+27,12,4,TRUE,"Car+SUV"))-L39</f>
        <v>288117.14103404648</v>
      </c>
      <c r="M37" s="40">
        <f ca="1">INDIRECT(ADDRESS(D32+27,13,4,TRUE,"Car+SUV"))-M39</f>
        <v>269177.37316396274</v>
      </c>
      <c r="N37" s="40">
        <f ca="1">INDIRECT(ADDRESS(D32+27,14,4,TRUE,"Car+SUV"))-N39</f>
        <v>248511.32624787922</v>
      </c>
      <c r="O37" s="40">
        <f ca="1">INDIRECT(ADDRESS(D32+27,15,4,TRUE,"Car+SUV"))-O39</f>
        <v>222630.72611254524</v>
      </c>
      <c r="P37" s="40">
        <f ca="1">INDIRECT(ADDRESS(D32+27,16,4,TRUE,"Car+SUV"))-P39</f>
        <v>195186.74612815084</v>
      </c>
      <c r="Q37" s="41">
        <f ca="1">INDIRECT(ADDRESS(D32+27,17,4,TRUE,"Car+SUV"))-Q39</f>
        <v>166385.76411391661</v>
      </c>
    </row>
    <row r="38" spans="3:17" ht="15.5" x14ac:dyDescent="0.35">
      <c r="C38" s="24" t="s">
        <v>114</v>
      </c>
      <c r="D38" s="42">
        <f ca="1">INDIRECT(ADDRESS(D32+27,4,4,TRUE,"Van+Ute"))-D40</f>
        <v>47416.534906055706</v>
      </c>
      <c r="E38" s="43">
        <f ca="1">INDIRECT(ADDRESS(D32+27,5,4,TRUE,"Van+Ute"))-E40</f>
        <v>50328.043705619275</v>
      </c>
      <c r="F38" s="43">
        <f ca="1">INDIRECT(ADDRESS(D32+27,6,4,TRUE,"Van+Ute"))-F40</f>
        <v>53291.000734391389</v>
      </c>
      <c r="G38" s="43">
        <f ca="1">INDIRECT(ADDRESS($D32+27,7,4,TRUE,"Van+Ute"))-G40</f>
        <v>56611.038473279797</v>
      </c>
      <c r="H38" s="43">
        <f ca="1">INDIRECT(ADDRESS($D32+27,8,4,TRUE,"Van+Ute"))-H40</f>
        <v>61309.583811813289</v>
      </c>
      <c r="I38" s="43">
        <f ca="1">INDIRECT(ADDRESS(D32+27,9,4,TRUE,"Van+Ute"))-I40</f>
        <v>64783.646820639507</v>
      </c>
      <c r="J38" s="43">
        <f ca="1">INDIRECT(ADDRESS(D32+27,10,4,TRUE,"Van+Ute"))-J40</f>
        <v>71709.099983198859</v>
      </c>
      <c r="K38" s="43">
        <f ca="1">INDIRECT(ADDRESS(D32+27,11,4,TRUE,"Van+Ute"))-K40</f>
        <v>73023.671370850658</v>
      </c>
      <c r="L38" s="43">
        <f ca="1">INDIRECT(ADDRESS(D32+27,12,4,TRUE,"Van+Ute"))-L40</f>
        <v>73586.492222410947</v>
      </c>
      <c r="M38" s="43">
        <f ca="1">INDIRECT(ADDRESS(D32+27,13,4,TRUE,"Van+Ute"))-M40</f>
        <v>73554.0543622525</v>
      </c>
      <c r="N38" s="43">
        <f ca="1">INDIRECT(ADDRESS(D32+27,14,4,TRUE,"Van+Ute"))-N40</f>
        <v>73531.619891647802</v>
      </c>
      <c r="O38" s="43">
        <f ca="1">INDIRECT(ADDRESS(D32+27,15,4,TRUE,"Van+Ute"))-O40</f>
        <v>72899.537431149351</v>
      </c>
      <c r="P38" s="43">
        <f ca="1">INDIRECT(ADDRESS(D32+27,16,4,TRUE,"Van+Ute"))-P40</f>
        <v>72001.407998631272</v>
      </c>
      <c r="Q38" s="44">
        <f ca="1">INDIRECT(ADDRESS(D32+27,17,4,TRUE,"Van+Ute"))-Q40</f>
        <v>70726.844629621337</v>
      </c>
    </row>
    <row r="39" spans="3:17" ht="15.5" x14ac:dyDescent="0.35">
      <c r="C39" s="24" t="s">
        <v>115</v>
      </c>
      <c r="D39" s="42">
        <f ca="1">INDIRECT(ADDRESS(D32+150,4,4,TRUE,"Car+SUV"))</f>
        <v>342.0875688132121</v>
      </c>
      <c r="E39" s="43">
        <f ca="1">INDIRECT(ADDRESS(D32+150,5,4,TRUE,"Car+SUV"))</f>
        <v>329.08291330645159</v>
      </c>
      <c r="F39" s="43">
        <f ca="1">INDIRECT(ADDRESS(D32+150,6,4,TRUE,"Car+SUV"))</f>
        <v>330.07775683317624</v>
      </c>
      <c r="G39" s="43">
        <f ca="1">INDIRECT(ADDRESS($D32+150,7,4,TRUE,"Car+SUV"))</f>
        <v>360.07301490721017</v>
      </c>
      <c r="H39" s="43">
        <f ca="1">INDIRECT(ADDRESS($D32+150,8,4,TRUE,"Car+SUV"))</f>
        <v>428.08272129880169</v>
      </c>
      <c r="I39" s="43">
        <f ca="1">INDIRECT(ADDRESS(D32+150,9,4,TRUE,"Car+SUV"))</f>
        <v>622.07690880989173</v>
      </c>
      <c r="J39" s="43">
        <f ca="1">INDIRECT(ADDRESS(D32+150,10,4,TRUE,"Car+SUV"))</f>
        <v>731.09607172779647</v>
      </c>
      <c r="K39" s="43">
        <f ca="1">INDIRECT(ADDRESS(D32+150,11,4,TRUE,"Car+SUV"))</f>
        <v>14471.540625747046</v>
      </c>
      <c r="L39" s="43">
        <f ca="1">INDIRECT(ADDRESS(D32+150,12,4,TRUE,"Car+SUV"))</f>
        <v>29265.642153773169</v>
      </c>
      <c r="M39" s="43">
        <f ca="1">INDIRECT(ADDRESS(D32+150,13,4,TRUE,"Car+SUV"))</f>
        <v>44624.65126374879</v>
      </c>
      <c r="N39" s="43">
        <f ca="1">INDIRECT(ADDRESS(D32+150,14,4,TRUE,"Car+SUV"))</f>
        <v>60436.043479316846</v>
      </c>
      <c r="O39" s="43">
        <f ca="1">INDIRECT(ADDRESS(D32+150,15,4,TRUE,"Car+SUV"))</f>
        <v>76652.080040702655</v>
      </c>
      <c r="P39" s="43">
        <f ca="1">INDIRECT(ADDRESS(D32+150,16,4,TRUE,"Car+SUV"))</f>
        <v>93120.890812228434</v>
      </c>
      <c r="Q39" s="44">
        <f ca="1">INDIRECT(ADDRESS(D32+150,17,4,TRUE,"Car+SUV"))</f>
        <v>109805.30258618876</v>
      </c>
    </row>
    <row r="40" spans="3:17" ht="15.5" x14ac:dyDescent="0.35">
      <c r="C40" s="24" t="s">
        <v>116</v>
      </c>
      <c r="D40" s="42">
        <f ca="1">INDIRECT(ADDRESS(D32+150,4,4,TRUE,"Van+Ute"))</f>
        <v>211</v>
      </c>
      <c r="E40" s="43">
        <f ca="1">INDIRECT(ADDRESS(D32+150,5,4,TRUE,"Van+Ute"))</f>
        <v>198</v>
      </c>
      <c r="F40" s="43">
        <f ca="1">INDIRECT(ADDRESS(D32+150,6,4,TRUE,"Van+Ute"))</f>
        <v>211</v>
      </c>
      <c r="G40" s="43">
        <f ca="1">INDIRECT(ADDRESS($D32+150,7,4,TRUE,"Van+Ute"))</f>
        <v>219</v>
      </c>
      <c r="H40" s="43">
        <f ca="1">INDIRECT(ADDRESS($D32+150,8,4,TRUE,"Van+Ute"))</f>
        <v>262</v>
      </c>
      <c r="I40" s="43">
        <f ca="1">INDIRECT(ADDRESS(D32+150,9,4,TRUE,"Van+Ute"))</f>
        <v>247</v>
      </c>
      <c r="J40" s="43">
        <f ca="1">INDIRECT(ADDRESS(D32+150,10,4,TRUE,"Van+Ute"))</f>
        <v>290.2868233161692</v>
      </c>
      <c r="K40" s="43">
        <f ca="1">INDIRECT(ADDRESS(D32+150,11,4,TRUE,"Van+Ute"))</f>
        <v>2421.7379229174567</v>
      </c>
      <c r="L40" s="43">
        <f ca="1">INDIRECT(ADDRESS(D32+150,12,4,TRUE,"Van+Ute"))</f>
        <v>4714.1382856140681</v>
      </c>
      <c r="M40" s="43">
        <f ca="1">INDIRECT(ADDRESS(D32+150,13,4,TRUE,"Van+Ute"))</f>
        <v>7093.4172688508852</v>
      </c>
      <c r="N40" s="43">
        <f ca="1">INDIRECT(ADDRESS(D32+150,14,4,TRUE,"Van+Ute"))</f>
        <v>9544.3813568984824</v>
      </c>
      <c r="O40" s="43">
        <f ca="1">INDIRECT(ADDRESS(D32+150,15,4,TRUE,"Van+Ute"))</f>
        <v>12056.125870791569</v>
      </c>
      <c r="P40" s="43">
        <f ca="1">INDIRECT(ADDRESS(D32+150,16,4,TRUE,"Van+Ute"))</f>
        <v>14609.073216760184</v>
      </c>
      <c r="Q40" s="44">
        <f ca="1">INDIRECT(ADDRESS(D32+150,17,4,TRUE,"Van+Ute"))</f>
        <v>17197.85600133321</v>
      </c>
    </row>
    <row r="41" spans="3:17" ht="15.5" x14ac:dyDescent="0.35">
      <c r="C41" s="24" t="s">
        <v>43</v>
      </c>
      <c r="D41" s="187" t="s">
        <v>108</v>
      </c>
      <c r="E41" s="188" t="s">
        <v>108</v>
      </c>
      <c r="F41" s="188" t="s">
        <v>108</v>
      </c>
      <c r="G41" s="188" t="s">
        <v>108</v>
      </c>
      <c r="H41" s="188" t="s">
        <v>108</v>
      </c>
      <c r="I41" s="188" t="s">
        <v>108</v>
      </c>
      <c r="J41" s="188" t="s">
        <v>108</v>
      </c>
      <c r="K41" s="188" t="s">
        <v>108</v>
      </c>
      <c r="L41" s="188" t="s">
        <v>108</v>
      </c>
      <c r="M41" s="188" t="s">
        <v>108</v>
      </c>
      <c r="N41" s="188" t="s">
        <v>108</v>
      </c>
      <c r="O41" s="188" t="s">
        <v>108</v>
      </c>
      <c r="P41" s="188" t="s">
        <v>108</v>
      </c>
      <c r="Q41" s="194" t="s">
        <v>108</v>
      </c>
    </row>
    <row r="42" spans="3:17" ht="15.5" x14ac:dyDescent="0.35">
      <c r="C42" s="24" t="s">
        <v>44</v>
      </c>
      <c r="D42" s="187" t="s">
        <v>108</v>
      </c>
      <c r="E42" s="188" t="s">
        <v>108</v>
      </c>
      <c r="F42" s="188" t="s">
        <v>108</v>
      </c>
      <c r="G42" s="188" t="s">
        <v>108</v>
      </c>
      <c r="H42" s="188" t="s">
        <v>108</v>
      </c>
      <c r="I42" s="188" t="s">
        <v>108</v>
      </c>
      <c r="J42" s="188" t="s">
        <v>108</v>
      </c>
      <c r="K42" s="188" t="s">
        <v>108</v>
      </c>
      <c r="L42" s="188" t="s">
        <v>108</v>
      </c>
      <c r="M42" s="188" t="s">
        <v>108</v>
      </c>
      <c r="N42" s="188" t="s">
        <v>108</v>
      </c>
      <c r="O42" s="188" t="s">
        <v>108</v>
      </c>
      <c r="P42" s="188" t="s">
        <v>108</v>
      </c>
      <c r="Q42" s="194" t="s">
        <v>108</v>
      </c>
    </row>
    <row r="43" spans="3:17" ht="16" thickBot="1" x14ac:dyDescent="0.4">
      <c r="C43" s="24" t="s">
        <v>42</v>
      </c>
      <c r="D43" s="42">
        <f ca="1">INDIRECT(ADDRESS(D32+27,4,4,TRUE,"Motorcycle"))</f>
        <v>13186.73748613598</v>
      </c>
      <c r="E43" s="43">
        <f ca="1">INDIRECT(ADDRESS(D32+27,5,4,TRUE,"Motorcycle"))</f>
        <v>13806.846477050121</v>
      </c>
      <c r="F43" s="43">
        <f ca="1">INDIRECT(ADDRESS(D32+27,6,4,TRUE,"Motorcycle"))</f>
        <v>14409.389074094694</v>
      </c>
      <c r="G43" s="43">
        <f ca="1">INDIRECT(ADDRESS($D32+27,7,4,TRUE,"Motorcycle"))</f>
        <v>15107.73012310241</v>
      </c>
      <c r="H43" s="43">
        <f ca="1">INDIRECT(ADDRESS($D32+27,8,4,TRUE,"Motorcycle"))</f>
        <v>15705.088182385776</v>
      </c>
      <c r="I43" s="43">
        <f ca="1">INDIRECT(ADDRESS(D32+27,9,4,TRUE,"Motorcycle"))</f>
        <v>16248.910818686985</v>
      </c>
      <c r="J43" s="43">
        <f ca="1">INDIRECT(ADDRESS(D32+27,10,4,TRUE,"Motorcycle"))</f>
        <v>17117.747052421531</v>
      </c>
      <c r="K43" s="43">
        <f ca="1">INDIRECT(ADDRESS(D32+27,11,4,TRUE,"Motorcycle"))</f>
        <v>17596.59924996713</v>
      </c>
      <c r="L43" s="43">
        <f ca="1">INDIRECT(ADDRESS(D32+27,12,4,TRUE,"Motorcycle"))</f>
        <v>17868.876792384744</v>
      </c>
      <c r="M43" s="43">
        <f ca="1">INDIRECT(ADDRESS(D32+27,13,4,TRUE,"Motorcycle"))</f>
        <v>17792.839558156527</v>
      </c>
      <c r="N43" s="43">
        <f ca="1">INDIRECT(ADDRESS(D32+27,14,4,TRUE,"Motorcycle"))</f>
        <v>17611.279624209688</v>
      </c>
      <c r="O43" s="43">
        <f ca="1">INDIRECT(ADDRESS(D32+27,15,4,TRUE,"Motorcycle"))</f>
        <v>18020.747877104724</v>
      </c>
      <c r="P43" s="43">
        <f ca="1">INDIRECT(ADDRESS(D32+27,16,4,TRUE,"Motorcycle"))</f>
        <v>18380.465638321733</v>
      </c>
      <c r="Q43" s="44">
        <f ca="1">INDIRECT(ADDRESS(D32+27,17,4,TRUE,"Motorcycle"))</f>
        <v>18706.37538242948</v>
      </c>
    </row>
    <row r="44" spans="3:17" ht="16.5" thickTop="1" thickBot="1" x14ac:dyDescent="0.4">
      <c r="C44" s="31" t="s">
        <v>45</v>
      </c>
      <c r="D44" s="189">
        <f ca="1">SUM(D37:D43)</f>
        <v>314522.66296973912</v>
      </c>
      <c r="E44" s="48">
        <f t="shared" ref="E44:N44" ca="1" si="4">SUM(E37:E43)</f>
        <v>326357.99449594057</v>
      </c>
      <c r="F44" s="48">
        <f t="shared" ca="1" si="4"/>
        <v>337432.07931294886</v>
      </c>
      <c r="G44" s="48">
        <f t="shared" ca="1" si="4"/>
        <v>352026.3401707781</v>
      </c>
      <c r="H44" s="48">
        <f t="shared" ca="1" si="4"/>
        <v>366822.93017532781</v>
      </c>
      <c r="I44" s="48">
        <f t="shared" ca="1" si="4"/>
        <v>367743.07423733687</v>
      </c>
      <c r="J44" s="48">
        <f t="shared" ca="1" si="4"/>
        <v>401116.00757305569</v>
      </c>
      <c r="K44" s="48">
        <f t="shared" ca="1" si="4"/>
        <v>409633.55217455683</v>
      </c>
      <c r="L44" s="48">
        <f t="shared" ca="1" si="4"/>
        <v>413552.29048822937</v>
      </c>
      <c r="M44" s="48">
        <f t="shared" ca="1" si="4"/>
        <v>412242.33561697137</v>
      </c>
      <c r="N44" s="48">
        <f t="shared" ca="1" si="4"/>
        <v>409634.65059995203</v>
      </c>
      <c r="O44" s="48">
        <f t="shared" ref="O44:Q44" ca="1" si="5">SUM(O37:O43)</f>
        <v>402259.21733229351</v>
      </c>
      <c r="P44" s="48">
        <f t="shared" ca="1" si="5"/>
        <v>393298.58379409241</v>
      </c>
      <c r="Q44" s="49">
        <f t="shared" ca="1" si="5"/>
        <v>382822.14271348936</v>
      </c>
    </row>
    <row r="45" spans="3:17" ht="13" thickTop="1" x14ac:dyDescent="0.25"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43"/>
    </row>
    <row r="46" spans="3:17" ht="13" thickBot="1" x14ac:dyDescent="0.3"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43"/>
    </row>
    <row r="47" spans="3:17" ht="16.5" thickTop="1" thickBot="1" x14ac:dyDescent="0.4">
      <c r="C47" s="180" t="str">
        <f ca="1">INDIRECT(ADDRESS(D47+27,3,4,TRUE,"Car+SUV"))</f>
        <v>Bay of Plenty</v>
      </c>
      <c r="D47" s="190">
        <v>4</v>
      </c>
      <c r="E47" s="145" t="s">
        <v>170</v>
      </c>
      <c r="F47" s="145"/>
      <c r="G47" s="145"/>
      <c r="H47" s="145"/>
      <c r="I47" s="145"/>
      <c r="J47" s="145"/>
      <c r="K47" s="145"/>
      <c r="L47" s="145"/>
      <c r="M47" s="145"/>
      <c r="N47" s="43"/>
    </row>
    <row r="48" spans="3:17" ht="13.5" thickTop="1" thickBot="1" x14ac:dyDescent="0.3"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43"/>
    </row>
    <row r="49" spans="3:17" ht="16" thickTop="1" x14ac:dyDescent="0.35">
      <c r="C49" s="32" t="s">
        <v>46</v>
      </c>
      <c r="D49" s="183"/>
      <c r="E49" s="183"/>
      <c r="F49" s="183"/>
      <c r="G49" s="183"/>
      <c r="H49" s="183"/>
      <c r="I49" s="183"/>
      <c r="J49" s="40"/>
      <c r="K49" s="40"/>
      <c r="L49" s="40"/>
      <c r="M49" s="40"/>
      <c r="N49" s="40"/>
      <c r="O49" s="34"/>
      <c r="P49" s="34"/>
      <c r="Q49" s="35"/>
    </row>
    <row r="50" spans="3:17" ht="13.5" thickBot="1" x14ac:dyDescent="0.35">
      <c r="C50" s="36"/>
      <c r="D50" s="184" t="s">
        <v>25</v>
      </c>
      <c r="E50" s="184" t="s">
        <v>37</v>
      </c>
      <c r="F50" s="184" t="s">
        <v>38</v>
      </c>
      <c r="G50" s="37" t="s">
        <v>177</v>
      </c>
      <c r="H50" s="37" t="s">
        <v>178</v>
      </c>
      <c r="I50" s="184" t="s">
        <v>26</v>
      </c>
      <c r="J50" s="184" t="s">
        <v>27</v>
      </c>
      <c r="K50" s="184" t="s">
        <v>28</v>
      </c>
      <c r="L50" s="184" t="s">
        <v>29</v>
      </c>
      <c r="M50" s="184" t="s">
        <v>30</v>
      </c>
      <c r="N50" s="184" t="s">
        <v>31</v>
      </c>
      <c r="O50" s="37" t="s">
        <v>174</v>
      </c>
      <c r="P50" s="37" t="s">
        <v>175</v>
      </c>
      <c r="Q50" s="38" t="s">
        <v>176</v>
      </c>
    </row>
    <row r="51" spans="3:17" ht="14" thickTop="1" thickBot="1" x14ac:dyDescent="0.35">
      <c r="C51" s="70"/>
      <c r="D51" s="185" t="s">
        <v>39</v>
      </c>
      <c r="E51" s="186" t="s">
        <v>39</v>
      </c>
      <c r="F51" s="186" t="s">
        <v>39</v>
      </c>
      <c r="G51" s="65" t="s">
        <v>39</v>
      </c>
      <c r="H51" s="65" t="s">
        <v>39</v>
      </c>
      <c r="I51" s="186" t="s">
        <v>39</v>
      </c>
      <c r="J51" s="186" t="s">
        <v>32</v>
      </c>
      <c r="K51" s="186" t="s">
        <v>32</v>
      </c>
      <c r="L51" s="186" t="s">
        <v>32</v>
      </c>
      <c r="M51" s="186" t="s">
        <v>32</v>
      </c>
      <c r="N51" s="186" t="s">
        <v>32</v>
      </c>
      <c r="O51" s="65" t="s">
        <v>32</v>
      </c>
      <c r="P51" s="65" t="s">
        <v>32</v>
      </c>
      <c r="Q51" s="66" t="s">
        <v>32</v>
      </c>
    </row>
    <row r="52" spans="3:17" ht="16" thickTop="1" x14ac:dyDescent="0.35">
      <c r="C52" s="24" t="s">
        <v>113</v>
      </c>
      <c r="D52" s="42">
        <f ca="1">INDIRECT(ADDRESS(D47+27,4,4,TRUE,"Car+SUV"))-D54</f>
        <v>190400.56451403711</v>
      </c>
      <c r="E52" s="40">
        <f ca="1">INDIRECT(ADDRESS(D47+27,5,4,TRUE,"Car+SUV"))-E54</f>
        <v>194482.74305089854</v>
      </c>
      <c r="F52" s="40">
        <f ca="1">INDIRECT(ADDRESS(D47+27,6,4,TRUE,"Car+SUV"))-F54</f>
        <v>198675.97142828369</v>
      </c>
      <c r="G52" s="40">
        <f ca="1">INDIRECT(ADDRESS($D47+27,7,4,TRUE,"Car+SUV"))-G54</f>
        <v>206947.61896827008</v>
      </c>
      <c r="H52" s="40">
        <f ca="1">INDIRECT(ADDRESS($D47+27,8,4,TRUE,"Car+SUV"))-H54</f>
        <v>215505.60903300028</v>
      </c>
      <c r="I52" s="40">
        <f ca="1">INDIRECT(ADDRESS(D47+27,9,4,TRUE,"Car+SUV"))-I54</f>
        <v>219531.69025009515</v>
      </c>
      <c r="J52" s="40">
        <f ca="1">INDIRECT(ADDRESS(D47+27,10,4,TRUE,"Car+SUV"))-J54</f>
        <v>237143.01031098119</v>
      </c>
      <c r="K52" s="40">
        <f ca="1">INDIRECT(ADDRESS(D47+27,11,4,TRUE,"Car+SUV"))-K54</f>
        <v>228323.44886132458</v>
      </c>
      <c r="L52" s="40">
        <f ca="1">INDIRECT(ADDRESS(D47+27,12,4,TRUE,"Car+SUV"))-L54</f>
        <v>216077.81426437982</v>
      </c>
      <c r="M52" s="40">
        <f ca="1">INDIRECT(ADDRESS(D47+27,13,4,TRUE,"Car+SUV"))-M54</f>
        <v>200525.82354967328</v>
      </c>
      <c r="N52" s="40">
        <f ca="1">INDIRECT(ADDRESS(D47+27,14,4,TRUE,"Car+SUV"))-N54</f>
        <v>183879.16095932617</v>
      </c>
      <c r="O52" s="40">
        <f ca="1">INDIRECT(ADDRESS(D47+27,15,4,TRUE,"Car+SUV"))-O54</f>
        <v>162823.75359741569</v>
      </c>
      <c r="P52" s="40">
        <f ca="1">INDIRECT(ADDRESS(D47+27,16,4,TRUE,"Car+SUV"))-P54</f>
        <v>140902.45987136287</v>
      </c>
      <c r="Q52" s="41">
        <f ca="1">INDIRECT(ADDRESS(D47+27,17,4,TRUE,"Car+SUV"))-Q54</f>
        <v>118307.07632198618</v>
      </c>
    </row>
    <row r="53" spans="3:17" ht="15.5" x14ac:dyDescent="0.35">
      <c r="C53" s="24" t="s">
        <v>114</v>
      </c>
      <c r="D53" s="42">
        <f ca="1">INDIRECT(ADDRESS(D47+27,4,4,TRUE,"Van+Ute"))-D55</f>
        <v>38283.901605202584</v>
      </c>
      <c r="E53" s="43">
        <f ca="1">INDIRECT(ADDRESS(D47+27,5,4,TRUE,"Van+Ute"))-E55</f>
        <v>40099.325873490794</v>
      </c>
      <c r="F53" s="43">
        <f ca="1">INDIRECT(ADDRESS(D47+27,6,4,TRUE,"Van+Ute"))-F55</f>
        <v>42435.027461840764</v>
      </c>
      <c r="G53" s="43">
        <f ca="1">INDIRECT(ADDRESS($D47+27,7,4,TRUE,"Van+Ute"))-G55</f>
        <v>45698.086979622429</v>
      </c>
      <c r="H53" s="43">
        <f ca="1">INDIRECT(ADDRESS($D47+27,8,4,TRUE,"Van+Ute"))-H55</f>
        <v>49744.136553712466</v>
      </c>
      <c r="I53" s="43">
        <f ca="1">INDIRECT(ADDRESS(D47+27,9,4,TRUE,"Van+Ute"))-I55</f>
        <v>52352.847500202159</v>
      </c>
      <c r="J53" s="43">
        <f ca="1">INDIRECT(ADDRESS(D47+27,10,4,TRUE,"Van+Ute"))-J55</f>
        <v>57430.774937238326</v>
      </c>
      <c r="K53" s="43">
        <f ca="1">INDIRECT(ADDRESS(D47+27,11,4,TRUE,"Van+Ute"))-K55</f>
        <v>57918.940852168511</v>
      </c>
      <c r="L53" s="43">
        <f ca="1">INDIRECT(ADDRESS(D47+27,12,4,TRUE,"Van+Ute"))-L55</f>
        <v>57811.342852026573</v>
      </c>
      <c r="M53" s="43">
        <f ca="1">INDIRECT(ADDRESS(D47+27,13,4,TRUE,"Van+Ute"))-M55</f>
        <v>57247.837187118683</v>
      </c>
      <c r="N53" s="43">
        <f ca="1">INDIRECT(ADDRESS(D47+27,14,4,TRUE,"Van+Ute"))-N55</f>
        <v>56682.327830457958</v>
      </c>
      <c r="O53" s="43">
        <f ca="1">INDIRECT(ADDRESS(D47+27,15,4,TRUE,"Van+Ute"))-O55</f>
        <v>55496.472612836122</v>
      </c>
      <c r="P53" s="43">
        <f ca="1">INDIRECT(ADDRESS(D47+27,16,4,TRUE,"Van+Ute"))-P55</f>
        <v>54112.110554923551</v>
      </c>
      <c r="Q53" s="44">
        <f ca="1">INDIRECT(ADDRESS(D47+27,17,4,TRUE,"Van+Ute"))-Q55</f>
        <v>52457.514343004746</v>
      </c>
    </row>
    <row r="54" spans="3:17" ht="15.5" x14ac:dyDescent="0.35">
      <c r="C54" s="24" t="s">
        <v>115</v>
      </c>
      <c r="D54" s="42">
        <f ca="1">INDIRECT(ADDRESS(D47+150,4,4,TRUE,"Car+SUV"))</f>
        <v>316.08091153501471</v>
      </c>
      <c r="E54" s="43">
        <f ca="1">INDIRECT(ADDRESS(D47+150,5,4,TRUE,"Car+SUV"))</f>
        <v>288.07258064516128</v>
      </c>
      <c r="F54" s="43">
        <f ca="1">INDIRECT(ADDRESS(D47+150,6,4,TRUE,"Car+SUV"))</f>
        <v>297.06998114985862</v>
      </c>
      <c r="G54" s="43">
        <f ca="1">INDIRECT(ADDRESS($D47+150,7,4,TRUE,"Car+SUV"))</f>
        <v>313.06348240543554</v>
      </c>
      <c r="H54" s="43">
        <f ca="1">INDIRECT(ADDRESS($D47+150,8,4,TRUE,"Car+SUV"))</f>
        <v>347.0670660997294</v>
      </c>
      <c r="I54" s="43">
        <f ca="1">INDIRECT(ADDRESS(D47+150,9,4,TRUE,"Car+SUV"))</f>
        <v>521.0644204018547</v>
      </c>
      <c r="J54" s="43">
        <f ca="1">INDIRECT(ADDRESS(D47+150,10,4,TRUE,"Car+SUV"))</f>
        <v>609.49678157781852</v>
      </c>
      <c r="K54" s="43">
        <f ca="1">INDIRECT(ADDRESS(D47+150,11,4,TRUE,"Car+SUV"))</f>
        <v>9801.3985017889518</v>
      </c>
      <c r="L54" s="43">
        <f ca="1">INDIRECT(ADDRESS(D47+150,12,4,TRUE,"Car+SUV"))</f>
        <v>19560.061008388457</v>
      </c>
      <c r="M54" s="43">
        <f ca="1">INDIRECT(ADDRESS(D47+150,13,4,TRUE,"Car+SUV"))</f>
        <v>29543.695716296261</v>
      </c>
      <c r="N54" s="43">
        <f ca="1">INDIRECT(ADDRESS(D47+150,14,4,TRUE,"Car+SUV"))</f>
        <v>39682.422481997208</v>
      </c>
      <c r="O54" s="43">
        <f ca="1">INDIRECT(ADDRESS(D47+150,15,4,TRUE,"Car+SUV"))</f>
        <v>49928.58712060751</v>
      </c>
      <c r="P54" s="43">
        <f ca="1">INDIRECT(ADDRESS(D47+150,16,4,TRUE,"Car+SUV"))</f>
        <v>60183.771759316478</v>
      </c>
      <c r="Q54" s="44">
        <f ca="1">INDIRECT(ADDRESS(D47+150,17,4,TRUE,"Car+SUV"))</f>
        <v>70420.972369737457</v>
      </c>
    </row>
    <row r="55" spans="3:17" ht="15.5" x14ac:dyDescent="0.35">
      <c r="C55" s="24" t="s">
        <v>116</v>
      </c>
      <c r="D55" s="42">
        <f ca="1">INDIRECT(ADDRESS(D47+150,4,4,TRUE,"Van+Ute"))</f>
        <v>203</v>
      </c>
      <c r="E55" s="43">
        <f ca="1">INDIRECT(ADDRESS(D47+150,5,4,TRUE,"Van+Ute"))</f>
        <v>218</v>
      </c>
      <c r="F55" s="43">
        <f ca="1">INDIRECT(ADDRESS(D47+150,6,4,TRUE,"Van+Ute"))</f>
        <v>216</v>
      </c>
      <c r="G55" s="43">
        <f ca="1">INDIRECT(ADDRESS($D47+150,7,4,TRUE,"Van+Ute"))</f>
        <v>215</v>
      </c>
      <c r="H55" s="43">
        <f ca="1">INDIRECT(ADDRESS($D47+150,8,4,TRUE,"Van+Ute"))</f>
        <v>256</v>
      </c>
      <c r="I55" s="43">
        <f ca="1">INDIRECT(ADDRESS(D47+150,9,4,TRUE,"Van+Ute"))</f>
        <v>260</v>
      </c>
      <c r="J55" s="43">
        <f ca="1">INDIRECT(ADDRESS(D47+150,10,4,TRUE,"Van+Ute"))</f>
        <v>304.1258566225236</v>
      </c>
      <c r="K55" s="43">
        <f ca="1">INDIRECT(ADDRESS(D47+150,11,4,TRUE,"Van+Ute"))</f>
        <v>2072.555393375218</v>
      </c>
      <c r="L55" s="43">
        <f ca="1">INDIRECT(ADDRESS(D47+150,12,4,TRUE,"Van+Ute"))</f>
        <v>3947.7361119183779</v>
      </c>
      <c r="M55" s="43">
        <f ca="1">INDIRECT(ADDRESS(D47+150,13,4,TRUE,"Van+Ute"))</f>
        <v>5865.6742196522237</v>
      </c>
      <c r="N55" s="43">
        <f ca="1">INDIRECT(ADDRESS(D47+150,14,4,TRUE,"Van+Ute"))</f>
        <v>7815.4195930446522</v>
      </c>
      <c r="O55" s="43">
        <f ca="1">INDIRECT(ADDRESS(D47+150,15,4,TRUE,"Van+Ute"))</f>
        <v>9783.8972217094379</v>
      </c>
      <c r="P55" s="43">
        <f ca="1">INDIRECT(ADDRESS(D47+150,16,4,TRUE,"Van+Ute"))</f>
        <v>11756.602602077775</v>
      </c>
      <c r="Q55" s="44">
        <f ca="1">INDIRECT(ADDRESS(D47+150,17,4,TRUE,"Van+Ute"))</f>
        <v>13728.78549015679</v>
      </c>
    </row>
    <row r="56" spans="3:17" ht="15.5" x14ac:dyDescent="0.35">
      <c r="C56" s="24" t="s">
        <v>43</v>
      </c>
      <c r="D56" s="187" t="s">
        <v>108</v>
      </c>
      <c r="E56" s="188" t="s">
        <v>108</v>
      </c>
      <c r="F56" s="188" t="s">
        <v>108</v>
      </c>
      <c r="G56" s="188" t="s">
        <v>108</v>
      </c>
      <c r="H56" s="188" t="s">
        <v>108</v>
      </c>
      <c r="I56" s="188" t="s">
        <v>108</v>
      </c>
      <c r="J56" s="188" t="s">
        <v>108</v>
      </c>
      <c r="K56" s="188" t="s">
        <v>108</v>
      </c>
      <c r="L56" s="188" t="s">
        <v>108</v>
      </c>
      <c r="M56" s="188" t="s">
        <v>108</v>
      </c>
      <c r="N56" s="188" t="s">
        <v>108</v>
      </c>
      <c r="O56" s="188" t="s">
        <v>108</v>
      </c>
      <c r="P56" s="188" t="s">
        <v>108</v>
      </c>
      <c r="Q56" s="194" t="s">
        <v>108</v>
      </c>
    </row>
    <row r="57" spans="3:17" ht="15.5" x14ac:dyDescent="0.35">
      <c r="C57" s="24" t="s">
        <v>44</v>
      </c>
      <c r="D57" s="187" t="s">
        <v>108</v>
      </c>
      <c r="E57" s="188" t="s">
        <v>108</v>
      </c>
      <c r="F57" s="188" t="s">
        <v>108</v>
      </c>
      <c r="G57" s="188" t="s">
        <v>108</v>
      </c>
      <c r="H57" s="188" t="s">
        <v>108</v>
      </c>
      <c r="I57" s="188" t="s">
        <v>108</v>
      </c>
      <c r="J57" s="188" t="s">
        <v>108</v>
      </c>
      <c r="K57" s="188" t="s">
        <v>108</v>
      </c>
      <c r="L57" s="188" t="s">
        <v>108</v>
      </c>
      <c r="M57" s="188" t="s">
        <v>108</v>
      </c>
      <c r="N57" s="188" t="s">
        <v>108</v>
      </c>
      <c r="O57" s="188" t="s">
        <v>108</v>
      </c>
      <c r="P57" s="188" t="s">
        <v>108</v>
      </c>
      <c r="Q57" s="194" t="s">
        <v>108</v>
      </c>
    </row>
    <row r="58" spans="3:17" ht="16" thickBot="1" x14ac:dyDescent="0.4">
      <c r="C58" s="24" t="s">
        <v>42</v>
      </c>
      <c r="D58" s="42">
        <f ca="1">INDIRECT(ADDRESS(D47+27,4,4,TRUE,"Motorcycle"))</f>
        <v>10544.589878721537</v>
      </c>
      <c r="E58" s="43">
        <f ca="1">INDIRECT(ADDRESS(D47+27,5,4,TRUE,"Motorcycle"))</f>
        <v>10927.420725840502</v>
      </c>
      <c r="F58" s="43">
        <f ca="1">INDIRECT(ADDRESS(D47+27,6,4,TRUE,"Motorcycle"))</f>
        <v>11352.053850133938</v>
      </c>
      <c r="G58" s="43">
        <f ca="1">INDIRECT(ADDRESS($D47+27,7,4,TRUE,"Motorcycle"))</f>
        <v>11911.162928914209</v>
      </c>
      <c r="H58" s="43">
        <f ca="1">INDIRECT(ADDRESS($D47+27,8,4,TRUE,"Motorcycle"))</f>
        <v>12526.090920892395</v>
      </c>
      <c r="I58" s="43">
        <f ca="1">INDIRECT(ADDRESS(D47+27,9,4,TRUE,"Motorcycle"))</f>
        <v>13255.526236718735</v>
      </c>
      <c r="J58" s="43">
        <f ca="1">INDIRECT(ADDRESS(D47+27,10,4,TRUE,"Motorcycle"))</f>
        <v>13839.309761124852</v>
      </c>
      <c r="K58" s="43">
        <f ca="1">INDIRECT(ADDRESS(D47+27,11,4,TRUE,"Motorcycle"))</f>
        <v>14121.83876603012</v>
      </c>
      <c r="L58" s="43">
        <f ca="1">INDIRECT(ADDRESS(D47+27,12,4,TRUE,"Motorcycle"))</f>
        <v>14236.440106687664</v>
      </c>
      <c r="M58" s="43">
        <f ca="1">INDIRECT(ADDRESS(D47+27,13,4,TRUE,"Motorcycle"))</f>
        <v>14069.786885089658</v>
      </c>
      <c r="N58" s="43">
        <f ca="1">INDIRECT(ADDRESS(D47+27,14,4,TRUE,"Motorcycle"))</f>
        <v>13824.168638615616</v>
      </c>
      <c r="O58" s="43">
        <f ca="1">INDIRECT(ADDRESS(D47+27,15,4,TRUE,"Motorcycle"))</f>
        <v>14041.183505640574</v>
      </c>
      <c r="P58" s="43">
        <f ca="1">INDIRECT(ADDRESS(D47+27,16,4,TRUE,"Motorcycle"))</f>
        <v>14214.982977732627</v>
      </c>
      <c r="Q58" s="44">
        <f ca="1">INDIRECT(ADDRESS(D47+27,17,4,TRUE,"Motorcycle"))</f>
        <v>14358.652745367082</v>
      </c>
    </row>
    <row r="59" spans="3:17" ht="16.5" thickTop="1" thickBot="1" x14ac:dyDescent="0.4">
      <c r="C59" s="31" t="s">
        <v>45</v>
      </c>
      <c r="D59" s="189">
        <f ca="1">SUM(D52:D58)</f>
        <v>239748.13690949624</v>
      </c>
      <c r="E59" s="48">
        <f t="shared" ref="E59:N59" ca="1" si="6">SUM(E52:E58)</f>
        <v>246015.56223087499</v>
      </c>
      <c r="F59" s="48">
        <f t="shared" ca="1" si="6"/>
        <v>252976.12272140826</v>
      </c>
      <c r="G59" s="48">
        <f t="shared" ca="1" si="6"/>
        <v>265084.93235921214</v>
      </c>
      <c r="H59" s="48">
        <f t="shared" ca="1" si="6"/>
        <v>278378.90357370483</v>
      </c>
      <c r="I59" s="48">
        <f t="shared" ca="1" si="6"/>
        <v>285921.12840741797</v>
      </c>
      <c r="J59" s="48">
        <f t="shared" ca="1" si="6"/>
        <v>309326.71764754469</v>
      </c>
      <c r="K59" s="48">
        <f t="shared" ca="1" si="6"/>
        <v>312238.18237468734</v>
      </c>
      <c r="L59" s="48">
        <f t="shared" ca="1" si="6"/>
        <v>311633.3943434009</v>
      </c>
      <c r="M59" s="48">
        <f t="shared" ca="1" si="6"/>
        <v>307252.81755783007</v>
      </c>
      <c r="N59" s="48">
        <f t="shared" ca="1" si="6"/>
        <v>301883.49950344168</v>
      </c>
      <c r="O59" s="48">
        <f t="shared" ref="O59:Q59" ca="1" si="7">SUM(O52:O58)</f>
        <v>292073.89405820932</v>
      </c>
      <c r="P59" s="48">
        <f t="shared" ca="1" si="7"/>
        <v>281169.9277654133</v>
      </c>
      <c r="Q59" s="49">
        <f t="shared" ca="1" si="7"/>
        <v>269273.00127025228</v>
      </c>
    </row>
    <row r="60" spans="3:17" ht="13" thickTop="1" x14ac:dyDescent="0.25"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43"/>
    </row>
    <row r="61" spans="3:17" ht="13" thickBot="1" x14ac:dyDescent="0.3"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43"/>
    </row>
    <row r="62" spans="3:17" ht="16.5" thickTop="1" thickBot="1" x14ac:dyDescent="0.4">
      <c r="C62" s="180" t="str">
        <f ca="1">INDIRECT(ADDRESS(D62+27,3,4,TRUE,"Car+SUV"))</f>
        <v>Gisborne</v>
      </c>
      <c r="D62" s="190">
        <v>5</v>
      </c>
      <c r="E62" s="145" t="s">
        <v>170</v>
      </c>
      <c r="F62" s="145"/>
      <c r="G62" s="145"/>
      <c r="H62" s="145"/>
      <c r="I62" s="145"/>
      <c r="J62" s="145"/>
      <c r="K62" s="145"/>
      <c r="L62" s="145"/>
      <c r="M62" s="145"/>
      <c r="N62" s="43"/>
    </row>
    <row r="63" spans="3:17" ht="13.5" thickTop="1" thickBot="1" x14ac:dyDescent="0.3"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43"/>
    </row>
    <row r="64" spans="3:17" ht="16" thickTop="1" x14ac:dyDescent="0.35">
      <c r="C64" s="32" t="s">
        <v>46</v>
      </c>
      <c r="D64" s="183"/>
      <c r="E64" s="183"/>
      <c r="F64" s="183"/>
      <c r="G64" s="183"/>
      <c r="H64" s="183"/>
      <c r="I64" s="183"/>
      <c r="J64" s="40"/>
      <c r="K64" s="40"/>
      <c r="L64" s="40"/>
      <c r="M64" s="40"/>
      <c r="N64" s="40"/>
      <c r="O64" s="34"/>
      <c r="P64" s="34"/>
      <c r="Q64" s="35"/>
    </row>
    <row r="65" spans="3:17" ht="13.5" thickBot="1" x14ac:dyDescent="0.35">
      <c r="C65" s="36"/>
      <c r="D65" s="184" t="s">
        <v>25</v>
      </c>
      <c r="E65" s="184" t="s">
        <v>37</v>
      </c>
      <c r="F65" s="184" t="s">
        <v>38</v>
      </c>
      <c r="G65" s="37" t="s">
        <v>177</v>
      </c>
      <c r="H65" s="37" t="s">
        <v>178</v>
      </c>
      <c r="I65" s="184" t="s">
        <v>26</v>
      </c>
      <c r="J65" s="184" t="s">
        <v>27</v>
      </c>
      <c r="K65" s="184" t="s">
        <v>28</v>
      </c>
      <c r="L65" s="184" t="s">
        <v>29</v>
      </c>
      <c r="M65" s="184" t="s">
        <v>30</v>
      </c>
      <c r="N65" s="184" t="s">
        <v>31</v>
      </c>
      <c r="O65" s="37" t="s">
        <v>174</v>
      </c>
      <c r="P65" s="37" t="s">
        <v>175</v>
      </c>
      <c r="Q65" s="38" t="s">
        <v>176</v>
      </c>
    </row>
    <row r="66" spans="3:17" ht="14" thickTop="1" thickBot="1" x14ac:dyDescent="0.35">
      <c r="C66" s="70"/>
      <c r="D66" s="185" t="s">
        <v>39</v>
      </c>
      <c r="E66" s="186" t="s">
        <v>39</v>
      </c>
      <c r="F66" s="186" t="s">
        <v>39</v>
      </c>
      <c r="G66" s="65" t="s">
        <v>39</v>
      </c>
      <c r="H66" s="65" t="s">
        <v>39</v>
      </c>
      <c r="I66" s="186" t="s">
        <v>39</v>
      </c>
      <c r="J66" s="186" t="s">
        <v>32</v>
      </c>
      <c r="K66" s="186" t="s">
        <v>32</v>
      </c>
      <c r="L66" s="186" t="s">
        <v>32</v>
      </c>
      <c r="M66" s="186" t="s">
        <v>32</v>
      </c>
      <c r="N66" s="186" t="s">
        <v>32</v>
      </c>
      <c r="O66" s="65" t="s">
        <v>32</v>
      </c>
      <c r="P66" s="65" t="s">
        <v>32</v>
      </c>
      <c r="Q66" s="66" t="s">
        <v>32</v>
      </c>
    </row>
    <row r="67" spans="3:17" ht="16" thickTop="1" x14ac:dyDescent="0.35">
      <c r="C67" s="24" t="s">
        <v>113</v>
      </c>
      <c r="D67" s="42">
        <f ca="1">INDIRECT(ADDRESS(D62+27,4,4,TRUE,"Car+SUV"))-D69</f>
        <v>23085.657609747974</v>
      </c>
      <c r="E67" s="40">
        <f ca="1">INDIRECT(ADDRESS(D62+27,5,4,TRUE,"Car+SUV"))-E69</f>
        <v>23173.420802937249</v>
      </c>
      <c r="F67" s="40">
        <f ca="1">INDIRECT(ADDRESS(D62+27,6,4,TRUE,"Car+SUV"))-F69</f>
        <v>23367.716440611617</v>
      </c>
      <c r="G67" s="40">
        <f ca="1">INDIRECT(ADDRESS($D62+27,7,4,TRUE,"Car+SUV"))-G69</f>
        <v>23588.257886153155</v>
      </c>
      <c r="H67" s="40">
        <f ca="1">INDIRECT(ADDRESS($D62+27,8,4,TRUE,"Car+SUV"))-H69</f>
        <v>24028.895264524996</v>
      </c>
      <c r="I67" s="40">
        <f ca="1">INDIRECT(ADDRESS(D62+27,9,4,TRUE,"Car+SUV"))-I69</f>
        <v>23382.714859866774</v>
      </c>
      <c r="J67" s="40">
        <f ca="1">INDIRECT(ADDRESS(D62+27,10,4,TRUE,"Car+SUV"))-J69</f>
        <v>24434.755015120249</v>
      </c>
      <c r="K67" s="40">
        <f ca="1">INDIRECT(ADDRESS(D62+27,11,4,TRUE,"Car+SUV"))-K69</f>
        <v>23241.18433409858</v>
      </c>
      <c r="L67" s="40">
        <f ca="1">INDIRECT(ADDRESS(D62+27,12,4,TRUE,"Car+SUV"))-L69</f>
        <v>21613.145161584627</v>
      </c>
      <c r="M67" s="40">
        <f ca="1">INDIRECT(ADDRESS(D62+27,13,4,TRUE,"Car+SUV"))-M69</f>
        <v>19696.124458467748</v>
      </c>
      <c r="N67" s="40">
        <f ca="1">INDIRECT(ADDRESS(D62+27,14,4,TRUE,"Car+SUV"))-N69</f>
        <v>17713.209888019133</v>
      </c>
      <c r="O67" s="40">
        <f ca="1">INDIRECT(ADDRESS(D62+27,15,4,TRUE,"Car+SUV"))-O69</f>
        <v>15285.877333447177</v>
      </c>
      <c r="P67" s="40">
        <f ca="1">INDIRECT(ADDRESS(D62+27,16,4,TRUE,"Car+SUV"))-P69</f>
        <v>12862.150545735883</v>
      </c>
      <c r="Q67" s="41">
        <f ca="1">INDIRECT(ADDRESS(D62+27,17,4,TRUE,"Car+SUV"))-Q69</f>
        <v>10463.490989579759</v>
      </c>
    </row>
    <row r="68" spans="3:17" ht="15.5" x14ac:dyDescent="0.35">
      <c r="C68" s="24" t="s">
        <v>114</v>
      </c>
      <c r="D68" s="42">
        <f ca="1">INDIRECT(ADDRESS(D62+27,4,4,TRUE,"Van+Ute"))-D70</f>
        <v>6793.2763687791949</v>
      </c>
      <c r="E68" s="43">
        <f ca="1">INDIRECT(ADDRESS(D62+27,5,4,TRUE,"Van+Ute"))-E70</f>
        <v>7132.648497588556</v>
      </c>
      <c r="F68" s="43">
        <f ca="1">INDIRECT(ADDRESS(D62+27,6,4,TRUE,"Van+Ute"))-F70</f>
        <v>7450.3583672574341</v>
      </c>
      <c r="G68" s="43">
        <f ca="1">INDIRECT(ADDRESS($D62+27,7,4,TRUE,"Van+Ute"))-G70</f>
        <v>7749.254388612404</v>
      </c>
      <c r="H68" s="43">
        <f ca="1">INDIRECT(ADDRESS($D62+27,8,4,TRUE,"Van+Ute"))-H70</f>
        <v>8091.0464735030255</v>
      </c>
      <c r="I68" s="43">
        <f ca="1">INDIRECT(ADDRESS(D62+27,9,4,TRUE,"Van+Ute"))-I70</f>
        <v>8241.776831558258</v>
      </c>
      <c r="J68" s="43">
        <f ca="1">INDIRECT(ADDRESS(D62+27,10,4,TRUE,"Van+Ute"))-J70</f>
        <v>8738.2153618252451</v>
      </c>
      <c r="K68" s="43">
        <f ca="1">INDIRECT(ADDRESS(D62+27,11,4,TRUE,"Van+Ute"))-K70</f>
        <v>8614.8242987991216</v>
      </c>
      <c r="L68" s="43">
        <f ca="1">INDIRECT(ADDRESS(D62+27,12,4,TRUE,"Van+Ute"))-L70</f>
        <v>8366.5268767678554</v>
      </c>
      <c r="M68" s="43">
        <f ca="1">INDIRECT(ADDRESS(D62+27,13,4,TRUE,"Van+Ute"))-M70</f>
        <v>8042.6093077718942</v>
      </c>
      <c r="N68" s="43">
        <f ca="1">INDIRECT(ADDRESS(D62+27,14,4,TRUE,"Van+Ute"))-N70</f>
        <v>7715.8274770910202</v>
      </c>
      <c r="O68" s="43">
        <f ca="1">INDIRECT(ADDRESS(D62+27,15,4,TRUE,"Van+Ute"))-O70</f>
        <v>7275.3923704834633</v>
      </c>
      <c r="P68" s="43">
        <f ca="1">INDIRECT(ADDRESS(D62+27,16,4,TRUE,"Van+Ute"))-P70</f>
        <v>6821.683894286939</v>
      </c>
      <c r="Q68" s="44">
        <f ca="1">INDIRECT(ADDRESS(D62+27,17,4,TRUE,"Van+Ute"))-Q70</f>
        <v>6349.8198872251878</v>
      </c>
    </row>
    <row r="69" spans="3:17" ht="15.5" x14ac:dyDescent="0.35">
      <c r="C69" s="24" t="s">
        <v>115</v>
      </c>
      <c r="D69" s="42">
        <f ca="1">INDIRECT(ADDRESS(D62+150,4,4,TRUE,"Car+SUV"))</f>
        <v>41.010498015619</v>
      </c>
      <c r="E69" s="43">
        <f ca="1">INDIRECT(ADDRESS(D62+150,5,4,TRUE,"Car+SUV"))</f>
        <v>44.011088709677416</v>
      </c>
      <c r="F69" s="43">
        <f ca="1">INDIRECT(ADDRESS(D62+150,6,4,TRUE,"Car+SUV"))</f>
        <v>38.008953817153632</v>
      </c>
      <c r="G69" s="43">
        <f ca="1">INDIRECT(ADDRESS($D62+150,7,4,TRUE,"Car+SUV"))</f>
        <v>36.007301490721019</v>
      </c>
      <c r="H69" s="43">
        <f ca="1">INDIRECT(ADDRESS($D62+150,8,4,TRUE,"Car+SUV"))</f>
        <v>37.007151140316964</v>
      </c>
      <c r="I69" s="43">
        <f ca="1">INDIRECT(ADDRESS(D62+150,9,4,TRUE,"Car+SUV"))</f>
        <v>36.004451313755794</v>
      </c>
      <c r="J69" s="43">
        <f ca="1">INDIRECT(ADDRESS(D62+150,10,4,TRUE,"Car+SUV"))</f>
        <v>41.422688148078961</v>
      </c>
      <c r="K69" s="43">
        <f ca="1">INDIRECT(ADDRESS(D62+150,11,4,TRUE,"Car+SUV"))</f>
        <v>789.42283944104111</v>
      </c>
      <c r="L69" s="43">
        <f ca="1">INDIRECT(ADDRESS(D62+150,12,4,TRUE,"Car+SUV"))</f>
        <v>1554.0814526116642</v>
      </c>
      <c r="M69" s="43">
        <f ca="1">INDIRECT(ADDRESS(D62+150,13,4,TRUE,"Car+SUV"))</f>
        <v>2305.0670049044734</v>
      </c>
      <c r="N69" s="43">
        <f ca="1">INDIRECT(ADDRESS(D62+150,14,4,TRUE,"Car+SUV"))</f>
        <v>3039.4899358138059</v>
      </c>
      <c r="O69" s="43">
        <f ca="1">INDIRECT(ADDRESS(D62+150,15,4,TRUE,"Car+SUV"))</f>
        <v>3756.19935168957</v>
      </c>
      <c r="P69" s="43">
        <f ca="1">INDIRECT(ADDRESS(D62+150,16,4,TRUE,"Car+SUV"))</f>
        <v>4446.7530850819603</v>
      </c>
      <c r="Q69" s="44">
        <f ca="1">INDIRECT(ADDRESS(D62+150,17,4,TRUE,"Car+SUV"))</f>
        <v>5110.2363571857331</v>
      </c>
    </row>
    <row r="70" spans="3:17" ht="15.5" x14ac:dyDescent="0.35">
      <c r="C70" s="24" t="s">
        <v>116</v>
      </c>
      <c r="D70" s="42">
        <f ca="1">INDIRECT(ADDRESS(D62+150,4,4,TRUE,"Van+Ute"))</f>
        <v>17</v>
      </c>
      <c r="E70" s="43">
        <f ca="1">INDIRECT(ADDRESS(D62+150,5,4,TRUE,"Van+Ute"))</f>
        <v>16</v>
      </c>
      <c r="F70" s="43">
        <f ca="1">INDIRECT(ADDRESS(D62+150,6,4,TRUE,"Van+Ute"))</f>
        <v>25</v>
      </c>
      <c r="G70" s="43">
        <f ca="1">INDIRECT(ADDRESS($D62+150,7,4,TRUE,"Van+Ute"))</f>
        <v>24</v>
      </c>
      <c r="H70" s="43">
        <f ca="1">INDIRECT(ADDRESS($D62+150,8,4,TRUE,"Van+Ute"))</f>
        <v>27</v>
      </c>
      <c r="I70" s="43">
        <f ca="1">INDIRECT(ADDRESS(D62+150,9,4,TRUE,"Van+Ute"))</f>
        <v>24</v>
      </c>
      <c r="J70" s="43">
        <f ca="1">INDIRECT(ADDRESS(D62+150,10,4,TRUE,"Van+Ute"))</f>
        <v>27.61171131009776</v>
      </c>
      <c r="K70" s="43">
        <f ca="1">INDIRECT(ADDRESS(D62+150,11,4,TRUE,"Van+Ute"))</f>
        <v>355.07822594671916</v>
      </c>
      <c r="L70" s="43">
        <f ca="1">INDIRECT(ADDRESS(D62+150,12,4,TRUE,"Van+Ute"))</f>
        <v>689.76260304296375</v>
      </c>
      <c r="M70" s="43">
        <f ca="1">INDIRECT(ADDRESS(D62+150,13,4,TRUE,"Van+Ute"))</f>
        <v>1018.4704168278804</v>
      </c>
      <c r="N70" s="43">
        <f ca="1">INDIRECT(ADDRESS(D62+150,14,4,TRUE,"Van+Ute"))</f>
        <v>1340.067228443434</v>
      </c>
      <c r="O70" s="43">
        <f ca="1">INDIRECT(ADDRESS(D62+150,15,4,TRUE,"Van+Ute"))</f>
        <v>1653.8551501414827</v>
      </c>
      <c r="P70" s="43">
        <f ca="1">INDIRECT(ADDRESS(D62+150,16,4,TRUE,"Van+Ute"))</f>
        <v>1956.3584250817992</v>
      </c>
      <c r="Q70" s="44">
        <f ca="1">INDIRECT(ADDRESS(D62+150,17,4,TRUE,"Van+Ute"))</f>
        <v>2247.1994390445807</v>
      </c>
    </row>
    <row r="71" spans="3:17" ht="15.5" x14ac:dyDescent="0.35">
      <c r="C71" s="24" t="s">
        <v>43</v>
      </c>
      <c r="D71" s="187" t="s">
        <v>108</v>
      </c>
      <c r="E71" s="188" t="s">
        <v>108</v>
      </c>
      <c r="F71" s="188" t="s">
        <v>108</v>
      </c>
      <c r="G71" s="188" t="s">
        <v>108</v>
      </c>
      <c r="H71" s="188" t="s">
        <v>108</v>
      </c>
      <c r="I71" s="188" t="s">
        <v>108</v>
      </c>
      <c r="J71" s="188" t="s">
        <v>108</v>
      </c>
      <c r="K71" s="188" t="s">
        <v>108</v>
      </c>
      <c r="L71" s="188" t="s">
        <v>108</v>
      </c>
      <c r="M71" s="188" t="s">
        <v>108</v>
      </c>
      <c r="N71" s="188" t="s">
        <v>108</v>
      </c>
      <c r="O71" s="188" t="s">
        <v>108</v>
      </c>
      <c r="P71" s="188" t="s">
        <v>108</v>
      </c>
      <c r="Q71" s="194" t="s">
        <v>108</v>
      </c>
    </row>
    <row r="72" spans="3:17" ht="15.5" x14ac:dyDescent="0.35">
      <c r="C72" s="24" t="s">
        <v>44</v>
      </c>
      <c r="D72" s="187" t="s">
        <v>108</v>
      </c>
      <c r="E72" s="188" t="s">
        <v>108</v>
      </c>
      <c r="F72" s="188" t="s">
        <v>108</v>
      </c>
      <c r="G72" s="188" t="s">
        <v>108</v>
      </c>
      <c r="H72" s="188" t="s">
        <v>108</v>
      </c>
      <c r="I72" s="188" t="s">
        <v>108</v>
      </c>
      <c r="J72" s="188" t="s">
        <v>108</v>
      </c>
      <c r="K72" s="188" t="s">
        <v>108</v>
      </c>
      <c r="L72" s="188" t="s">
        <v>108</v>
      </c>
      <c r="M72" s="188" t="s">
        <v>108</v>
      </c>
      <c r="N72" s="188" t="s">
        <v>108</v>
      </c>
      <c r="O72" s="188" t="s">
        <v>108</v>
      </c>
      <c r="P72" s="188" t="s">
        <v>108</v>
      </c>
      <c r="Q72" s="194" t="s">
        <v>108</v>
      </c>
    </row>
    <row r="73" spans="3:17" ht="16" thickBot="1" x14ac:dyDescent="0.4">
      <c r="C73" s="24" t="s">
        <v>42</v>
      </c>
      <c r="D73" s="42">
        <f ca="1">INDIRECT(ADDRESS(D62+27,4,4,TRUE,"Motorcycle"))</f>
        <v>1268.898692976288</v>
      </c>
      <c r="E73" s="43">
        <f ca="1">INDIRECT(ADDRESS(D62+27,5,4,TRUE,"Motorcycle"))</f>
        <v>1272.0891622308209</v>
      </c>
      <c r="F73" s="43">
        <f ca="1">INDIRECT(ADDRESS(D62+27,6,4,TRUE,"Motorcycle"))</f>
        <v>1289.5916965215513</v>
      </c>
      <c r="G73" s="43">
        <f ca="1">INDIRECT(ADDRESS($D62+27,7,4,TRUE,"Motorcycle"))</f>
        <v>1286.3245680034902</v>
      </c>
      <c r="H73" s="43">
        <f ca="1">INDIRECT(ADDRESS($D62+27,8,4,TRUE,"Motorcycle"))</f>
        <v>1287.2013451445598</v>
      </c>
      <c r="I73" s="43">
        <f ca="1">INDIRECT(ADDRESS(D62+27,9,4,TRUE,"Motorcycle"))</f>
        <v>1302.7825221278981</v>
      </c>
      <c r="J73" s="43">
        <f ca="1">INDIRECT(ADDRESS(D62+27,10,4,TRUE,"Motorcycle"))</f>
        <v>1326.2013240313108</v>
      </c>
      <c r="K73" s="43">
        <f ca="1">INDIRECT(ADDRESS(D62+27,11,4,TRUE,"Motorcycle"))</f>
        <v>1326.8821331201648</v>
      </c>
      <c r="L73" s="43">
        <f ca="1">INDIRECT(ADDRESS(D62+27,12,4,TRUE,"Motorcycle"))</f>
        <v>1312.7202783065168</v>
      </c>
      <c r="M73" s="43">
        <f ca="1">INDIRECT(ADDRESS(D62+27,13,4,TRUE,"Motorcycle"))</f>
        <v>1272.2862780282687</v>
      </c>
      <c r="N73" s="43">
        <f ca="1">INDIRECT(ADDRESS(D62+27,14,4,TRUE,"Motorcycle"))</f>
        <v>1226.8148148485891</v>
      </c>
      <c r="O73" s="43">
        <f ca="1">INDIRECT(ADDRESS(D62+27,15,4,TRUE,"Motorcycle"))</f>
        <v>1223.0378662659966</v>
      </c>
      <c r="P73" s="43">
        <f ca="1">INDIRECT(ADDRESS(D62+27,16,4,TRUE,"Motorcycle"))</f>
        <v>1215.4425388006284</v>
      </c>
      <c r="Q73" s="44">
        <f ca="1">INDIRECT(ADDRESS(D62+27,17,4,TRUE,"Motorcycle"))</f>
        <v>1205.3457250073288</v>
      </c>
    </row>
    <row r="74" spans="3:17" ht="16.5" thickTop="1" thickBot="1" x14ac:dyDescent="0.4">
      <c r="C74" s="31" t="s">
        <v>45</v>
      </c>
      <c r="D74" s="189">
        <f ca="1">SUM(D67:D73)</f>
        <v>31205.843169519074</v>
      </c>
      <c r="E74" s="48">
        <f t="shared" ref="E74:N74" ca="1" si="8">SUM(E67:E73)</f>
        <v>31638.169551466308</v>
      </c>
      <c r="F74" s="48">
        <f t="shared" ca="1" si="8"/>
        <v>32170.675458207756</v>
      </c>
      <c r="G74" s="48">
        <f t="shared" ca="1" si="8"/>
        <v>32683.844144259769</v>
      </c>
      <c r="H74" s="48">
        <f t="shared" ca="1" si="8"/>
        <v>33471.150234312896</v>
      </c>
      <c r="I74" s="48">
        <f t="shared" ca="1" si="8"/>
        <v>32987.278664866681</v>
      </c>
      <c r="J74" s="48">
        <f t="shared" ca="1" si="8"/>
        <v>34568.206100434982</v>
      </c>
      <c r="K74" s="48">
        <f t="shared" ca="1" si="8"/>
        <v>34327.391831405621</v>
      </c>
      <c r="L74" s="48">
        <f t="shared" ca="1" si="8"/>
        <v>33536.236372313622</v>
      </c>
      <c r="M74" s="48">
        <f t="shared" ca="1" si="8"/>
        <v>32334.557466000268</v>
      </c>
      <c r="N74" s="48">
        <f t="shared" ca="1" si="8"/>
        <v>31035.409344215983</v>
      </c>
      <c r="O74" s="48">
        <f t="shared" ref="O74:Q74" ca="1" si="9">SUM(O67:O73)</f>
        <v>29194.362072027692</v>
      </c>
      <c r="P74" s="48">
        <f t="shared" ca="1" si="9"/>
        <v>27302.38848898721</v>
      </c>
      <c r="Q74" s="49">
        <f t="shared" ca="1" si="9"/>
        <v>25376.092398042587</v>
      </c>
    </row>
    <row r="75" spans="3:17" ht="13" thickTop="1" x14ac:dyDescent="0.25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43"/>
    </row>
    <row r="76" spans="3:17" ht="13" thickBot="1" x14ac:dyDescent="0.3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43"/>
    </row>
    <row r="77" spans="3:17" ht="16.5" thickTop="1" thickBot="1" x14ac:dyDescent="0.4">
      <c r="C77" s="180" t="str">
        <f ca="1">INDIRECT(ADDRESS(D77+27,3,4,TRUE,"Car+SUV"))</f>
        <v>Hawke’s Bay</v>
      </c>
      <c r="D77" s="190">
        <v>6</v>
      </c>
      <c r="E77" s="145" t="s">
        <v>170</v>
      </c>
      <c r="F77" s="145"/>
      <c r="G77" s="145"/>
      <c r="H77" s="145"/>
      <c r="I77" s="145"/>
      <c r="J77" s="145"/>
      <c r="K77" s="145"/>
      <c r="L77" s="145"/>
      <c r="M77" s="145"/>
      <c r="N77" s="43"/>
    </row>
    <row r="78" spans="3:17" ht="13.5" thickTop="1" thickBot="1" x14ac:dyDescent="0.3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43"/>
    </row>
    <row r="79" spans="3:17" ht="16" thickTop="1" x14ac:dyDescent="0.35">
      <c r="C79" s="32" t="s">
        <v>46</v>
      </c>
      <c r="D79" s="183"/>
      <c r="E79" s="183"/>
      <c r="F79" s="183"/>
      <c r="G79" s="183"/>
      <c r="H79" s="183"/>
      <c r="I79" s="183"/>
      <c r="J79" s="40"/>
      <c r="K79" s="40"/>
      <c r="L79" s="40"/>
      <c r="M79" s="40"/>
      <c r="N79" s="40"/>
      <c r="O79" s="34"/>
      <c r="P79" s="34"/>
      <c r="Q79" s="35"/>
    </row>
    <row r="80" spans="3:17" ht="13.5" thickBot="1" x14ac:dyDescent="0.35">
      <c r="C80" s="36"/>
      <c r="D80" s="184" t="s">
        <v>25</v>
      </c>
      <c r="E80" s="184" t="s">
        <v>37</v>
      </c>
      <c r="F80" s="184" t="s">
        <v>38</v>
      </c>
      <c r="G80" s="37" t="s">
        <v>177</v>
      </c>
      <c r="H80" s="37" t="s">
        <v>178</v>
      </c>
      <c r="I80" s="184" t="s">
        <v>26</v>
      </c>
      <c r="J80" s="184" t="s">
        <v>27</v>
      </c>
      <c r="K80" s="184" t="s">
        <v>28</v>
      </c>
      <c r="L80" s="184" t="s">
        <v>29</v>
      </c>
      <c r="M80" s="184" t="s">
        <v>30</v>
      </c>
      <c r="N80" s="184" t="s">
        <v>31</v>
      </c>
      <c r="O80" s="37" t="s">
        <v>174</v>
      </c>
      <c r="P80" s="37" t="s">
        <v>175</v>
      </c>
      <c r="Q80" s="38" t="s">
        <v>176</v>
      </c>
    </row>
    <row r="81" spans="3:17" ht="14" thickTop="1" thickBot="1" x14ac:dyDescent="0.35">
      <c r="C81" s="70"/>
      <c r="D81" s="185" t="s">
        <v>39</v>
      </c>
      <c r="E81" s="186" t="s">
        <v>39</v>
      </c>
      <c r="F81" s="186" t="s">
        <v>39</v>
      </c>
      <c r="G81" s="65" t="s">
        <v>39</v>
      </c>
      <c r="H81" s="65" t="s">
        <v>39</v>
      </c>
      <c r="I81" s="186" t="s">
        <v>39</v>
      </c>
      <c r="J81" s="186" t="s">
        <v>32</v>
      </c>
      <c r="K81" s="186" t="s">
        <v>32</v>
      </c>
      <c r="L81" s="186" t="s">
        <v>32</v>
      </c>
      <c r="M81" s="186" t="s">
        <v>32</v>
      </c>
      <c r="N81" s="186" t="s">
        <v>32</v>
      </c>
      <c r="O81" s="65" t="s">
        <v>32</v>
      </c>
      <c r="P81" s="65" t="s">
        <v>32</v>
      </c>
      <c r="Q81" s="66" t="s">
        <v>32</v>
      </c>
    </row>
    <row r="82" spans="3:17" ht="16" thickTop="1" x14ac:dyDescent="0.35">
      <c r="C82" s="24" t="s">
        <v>113</v>
      </c>
      <c r="D82" s="42">
        <f ca="1">INDIRECT(ADDRESS(D77+27,4,4,TRUE,"Car+SUV"))-D84</f>
        <v>93585.669024202478</v>
      </c>
      <c r="E82" s="40">
        <f ca="1">INDIRECT(ADDRESS(D77+27,5,4,TRUE,"Car+SUV"))-E84</f>
        <v>94830.599004798671</v>
      </c>
      <c r="F82" s="40">
        <f ca="1">INDIRECT(ADDRESS(D77+27,6,4,TRUE,"Car+SUV"))-F84</f>
        <v>96290.774507573529</v>
      </c>
      <c r="G82" s="40">
        <f ca="1">INDIRECT(ADDRESS($D77+27,7,4,TRUE,"Car+SUV"))-G84</f>
        <v>99518.37077055969</v>
      </c>
      <c r="H82" s="40">
        <f ca="1">INDIRECT(ADDRESS($D77+27,8,4,TRUE,"Car+SUV"))-H84</f>
        <v>103320.42935409682</v>
      </c>
      <c r="I82" s="40">
        <f ca="1">INDIRECT(ADDRESS(D77+27,9,4,TRUE,"Car+SUV"))-I84</f>
        <v>102002.9368099398</v>
      </c>
      <c r="J82" s="40">
        <f ca="1">INDIRECT(ADDRESS(D77+27,10,4,TRUE,"Car+SUV"))-J84</f>
        <v>109808.97746781151</v>
      </c>
      <c r="K82" s="40">
        <f ca="1">INDIRECT(ADDRESS(D77+27,11,4,TRUE,"Car+SUV"))-K84</f>
        <v>105493.85663034723</v>
      </c>
      <c r="L82" s="40">
        <f ca="1">INDIRECT(ADDRESS(D77+27,12,4,TRUE,"Car+SUV"))-L84</f>
        <v>99821.195239460067</v>
      </c>
      <c r="M82" s="40">
        <f ca="1">INDIRECT(ADDRESS(D77+27,13,4,TRUE,"Car+SUV"))-M84</f>
        <v>92652.710781698013</v>
      </c>
      <c r="N82" s="40">
        <f ca="1">INDIRECT(ADDRESS(D77+27,14,4,TRUE,"Car+SUV"))-N84</f>
        <v>85016.65307696884</v>
      </c>
      <c r="O82" s="40">
        <f ca="1">INDIRECT(ADDRESS(D77+27,15,4,TRUE,"Car+SUV"))-O84</f>
        <v>75734.768549685657</v>
      </c>
      <c r="P82" s="40">
        <f ca="1">INDIRECT(ADDRESS(D77+27,16,4,TRUE,"Car+SUV"))-P84</f>
        <v>66042.397198801715</v>
      </c>
      <c r="Q82" s="41">
        <f ca="1">INDIRECT(ADDRESS(D77+27,17,4,TRUE,"Car+SUV"))-Q84</f>
        <v>55997.556356634785</v>
      </c>
    </row>
    <row r="83" spans="3:17" ht="15.5" x14ac:dyDescent="0.35">
      <c r="C83" s="24" t="s">
        <v>114</v>
      </c>
      <c r="D83" s="42">
        <f ca="1">INDIRECT(ADDRESS(D77+27,4,4,TRUE,"Van+Ute"))-D85</f>
        <v>19428.901435016782</v>
      </c>
      <c r="E83" s="43">
        <f ca="1">INDIRECT(ADDRESS(D77+27,5,4,TRUE,"Van+Ute"))-E85</f>
        <v>20215.417656315578</v>
      </c>
      <c r="F83" s="43">
        <f ca="1">INDIRECT(ADDRESS(D77+27,6,4,TRUE,"Van+Ute"))-F85</f>
        <v>20872.370347880722</v>
      </c>
      <c r="G83" s="43">
        <f ca="1">INDIRECT(ADDRESS($D77+27,7,4,TRUE,"Van+Ute"))-G85</f>
        <v>22063.9576657322</v>
      </c>
      <c r="H83" s="43">
        <f ca="1">INDIRECT(ADDRESS($D77+27,8,4,TRUE,"Van+Ute"))-H85</f>
        <v>23599.050378388813</v>
      </c>
      <c r="I83" s="43">
        <f ca="1">INDIRECT(ADDRESS(D77+27,9,4,TRUE,"Van+Ute"))-I85</f>
        <v>24412.432951629711</v>
      </c>
      <c r="J83" s="43">
        <f ca="1">INDIRECT(ADDRESS(D77+27,10,4,TRUE,"Van+Ute"))-J85</f>
        <v>26694.771538894129</v>
      </c>
      <c r="K83" s="43">
        <f ca="1">INDIRECT(ADDRESS(D77+27,11,4,TRUE,"Van+Ute"))-K85</f>
        <v>26836.548514292932</v>
      </c>
      <c r="L83" s="43">
        <f ca="1">INDIRECT(ADDRESS(D77+27,12,4,TRUE,"Van+Ute"))-L85</f>
        <v>26738.212944522693</v>
      </c>
      <c r="M83" s="43">
        <f ca="1">INDIRECT(ADDRESS(D77+27,13,4,TRUE,"Van+Ute"))-M85</f>
        <v>26438.281290531748</v>
      </c>
      <c r="N83" s="43">
        <f ca="1">INDIRECT(ADDRESS(D77+27,14,4,TRUE,"Van+Ute"))-N85</f>
        <v>26154.806881727061</v>
      </c>
      <c r="O83" s="43">
        <f ca="1">INDIRECT(ADDRESS(D77+27,15,4,TRUE,"Van+Ute"))-O85</f>
        <v>25656.724284817657</v>
      </c>
      <c r="P83" s="43">
        <f ca="1">INDIRECT(ADDRESS(D77+27,16,4,TRUE,"Van+Ute"))-P85</f>
        <v>25081.344844895444</v>
      </c>
      <c r="Q83" s="44">
        <f ca="1">INDIRECT(ADDRESS(D77+27,17,4,TRUE,"Van+Ute"))-Q85</f>
        <v>24393.786218412075</v>
      </c>
    </row>
    <row r="84" spans="3:17" ht="15.5" x14ac:dyDescent="0.35">
      <c r="C84" s="24" t="s">
        <v>115</v>
      </c>
      <c r="D84" s="42">
        <f ca="1">INDIRECT(ADDRESS(D77+150,4,4,TRUE,"Car+SUV"))</f>
        <v>173.04429650492895</v>
      </c>
      <c r="E84" s="43">
        <f ca="1">INDIRECT(ADDRESS(D77+150,5,4,TRUE,"Car+SUV"))</f>
        <v>178.04485887096774</v>
      </c>
      <c r="F84" s="43">
        <f ca="1">INDIRECT(ADDRESS(D77+150,6,4,TRUE,"Car+SUV"))</f>
        <v>183.04311969839773</v>
      </c>
      <c r="G84" s="43">
        <f ca="1">INDIRECT(ADDRESS($D77+150,7,4,TRUE,"Car+SUV"))</f>
        <v>206.04178075245918</v>
      </c>
      <c r="H84" s="43">
        <f ca="1">INDIRECT(ADDRESS($D77+150,8,4,TRUE,"Car+SUV"))</f>
        <v>253.04889833784304</v>
      </c>
      <c r="I84" s="43">
        <f ca="1">INDIRECT(ADDRESS(D77+150,9,4,TRUE,"Car+SUV"))</f>
        <v>243.03004636785161</v>
      </c>
      <c r="J84" s="43">
        <f ca="1">INDIRECT(ADDRESS(D77+150,10,4,TRUE,"Car+SUV"))</f>
        <v>284.00149754466116</v>
      </c>
      <c r="K84" s="43">
        <f ca="1">INDIRECT(ADDRESS(D77+150,11,4,TRUE,"Car+SUV"))</f>
        <v>4034.2939568744191</v>
      </c>
      <c r="L84" s="43">
        <f ca="1">INDIRECT(ADDRESS(D77+150,12,4,TRUE,"Car+SUV"))</f>
        <v>8016.3115378990551</v>
      </c>
      <c r="M84" s="43">
        <f ca="1">INDIRECT(ADDRESS(D77+150,13,4,TRUE,"Car+SUV"))</f>
        <v>12101.821714209178</v>
      </c>
      <c r="N84" s="43">
        <f ca="1">INDIRECT(ADDRESS(D77+150,14,4,TRUE,"Car+SUV"))</f>
        <v>16276.809964017619</v>
      </c>
      <c r="O84" s="43">
        <f ca="1">INDIRECT(ADDRESS(D77+150,15,4,TRUE,"Car+SUV"))</f>
        <v>20534.555875217815</v>
      </c>
      <c r="P84" s="43">
        <f ca="1">INDIRECT(ADDRESS(D77+150,16,4,TRUE,"Car+SUV"))</f>
        <v>24841.450022550503</v>
      </c>
      <c r="Q84" s="44">
        <f ca="1">INDIRECT(ADDRESS(D77+150,17,4,TRUE,"Car+SUV"))</f>
        <v>29196.39549696253</v>
      </c>
    </row>
    <row r="85" spans="3:17" ht="15.5" x14ac:dyDescent="0.35">
      <c r="C85" s="24" t="s">
        <v>116</v>
      </c>
      <c r="D85" s="42">
        <f ca="1">INDIRECT(ADDRESS(D77+150,4,4,TRUE,"Van+Ute"))</f>
        <v>72</v>
      </c>
      <c r="E85" s="43">
        <f ca="1">INDIRECT(ADDRESS(D77+150,5,4,TRUE,"Van+Ute"))</f>
        <v>75</v>
      </c>
      <c r="F85" s="43">
        <f ca="1">INDIRECT(ADDRESS(D77+150,6,4,TRUE,"Van+Ute"))</f>
        <v>79</v>
      </c>
      <c r="G85" s="43">
        <f ca="1">INDIRECT(ADDRESS($D77+150,7,4,TRUE,"Van+Ute"))</f>
        <v>91</v>
      </c>
      <c r="H85" s="43">
        <f ca="1">INDIRECT(ADDRESS($D77+150,8,4,TRUE,"Van+Ute"))</f>
        <v>93</v>
      </c>
      <c r="I85" s="43">
        <f ca="1">INDIRECT(ADDRESS(D77+150,9,4,TRUE,"Van+Ute"))</f>
        <v>117</v>
      </c>
      <c r="J85" s="43">
        <f ca="1">INDIRECT(ADDRESS(D77+150,10,4,TRUE,"Van+Ute"))</f>
        <v>136.72455611694616</v>
      </c>
      <c r="K85" s="43">
        <f ca="1">INDIRECT(ADDRESS(D77+150,11,4,TRUE,"Van+Ute"))</f>
        <v>1063.1301105073296</v>
      </c>
      <c r="L85" s="43">
        <f ca="1">INDIRECT(ADDRESS(D77+150,12,4,TRUE,"Van+Ute"))</f>
        <v>2045.9602388785211</v>
      </c>
      <c r="M85" s="43">
        <f ca="1">INDIRECT(ADDRESS(D77+150,13,4,TRUE,"Van+Ute"))</f>
        <v>3054.2021608564833</v>
      </c>
      <c r="N85" s="43">
        <f ca="1">INDIRECT(ADDRESS(D77+150,14,4,TRUE,"Van+Ute"))</f>
        <v>4085.2553872989047</v>
      </c>
      <c r="O85" s="43">
        <f ca="1">INDIRECT(ADDRESS(D77+150,15,4,TRUE,"Van+Ute"))</f>
        <v>5136.0679883491466</v>
      </c>
      <c r="P85" s="43">
        <f ca="1">INDIRECT(ADDRESS(D77+150,16,4,TRUE,"Van+Ute"))</f>
        <v>6199.8631036196621</v>
      </c>
      <c r="Q85" s="44">
        <f ca="1">INDIRECT(ADDRESS(D77+150,17,4,TRUE,"Van+Ute"))</f>
        <v>7276.5079168724969</v>
      </c>
    </row>
    <row r="86" spans="3:17" ht="15.5" x14ac:dyDescent="0.35">
      <c r="C86" s="24" t="s">
        <v>43</v>
      </c>
      <c r="D86" s="187" t="s">
        <v>108</v>
      </c>
      <c r="E86" s="188" t="s">
        <v>108</v>
      </c>
      <c r="F86" s="188" t="s">
        <v>108</v>
      </c>
      <c r="G86" s="188" t="s">
        <v>108</v>
      </c>
      <c r="H86" s="188" t="s">
        <v>108</v>
      </c>
      <c r="I86" s="188" t="s">
        <v>108</v>
      </c>
      <c r="J86" s="188" t="s">
        <v>108</v>
      </c>
      <c r="K86" s="188" t="s">
        <v>108</v>
      </c>
      <c r="L86" s="188" t="s">
        <v>108</v>
      </c>
      <c r="M86" s="188" t="s">
        <v>108</v>
      </c>
      <c r="N86" s="188" t="s">
        <v>108</v>
      </c>
      <c r="O86" s="188" t="s">
        <v>108</v>
      </c>
      <c r="P86" s="188" t="s">
        <v>108</v>
      </c>
      <c r="Q86" s="194" t="s">
        <v>108</v>
      </c>
    </row>
    <row r="87" spans="3:17" ht="15.5" x14ac:dyDescent="0.35">
      <c r="C87" s="24" t="s">
        <v>44</v>
      </c>
      <c r="D87" s="187" t="s">
        <v>108</v>
      </c>
      <c r="E87" s="188" t="s">
        <v>108</v>
      </c>
      <c r="F87" s="188" t="s">
        <v>108</v>
      </c>
      <c r="G87" s="188" t="s">
        <v>108</v>
      </c>
      <c r="H87" s="188" t="s">
        <v>108</v>
      </c>
      <c r="I87" s="188" t="s">
        <v>108</v>
      </c>
      <c r="J87" s="188" t="s">
        <v>108</v>
      </c>
      <c r="K87" s="188" t="s">
        <v>108</v>
      </c>
      <c r="L87" s="188" t="s">
        <v>108</v>
      </c>
      <c r="M87" s="188" t="s">
        <v>108</v>
      </c>
      <c r="N87" s="188" t="s">
        <v>108</v>
      </c>
      <c r="O87" s="188" t="s">
        <v>108</v>
      </c>
      <c r="P87" s="188" t="s">
        <v>108</v>
      </c>
      <c r="Q87" s="194" t="s">
        <v>108</v>
      </c>
    </row>
    <row r="88" spans="3:17" ht="16" thickBot="1" x14ac:dyDescent="0.4">
      <c r="C88" s="24" t="s">
        <v>42</v>
      </c>
      <c r="D88" s="42">
        <f ca="1">INDIRECT(ADDRESS(D77+27,4,4,TRUE,"Motorcycle"))</f>
        <v>4852.2852979767595</v>
      </c>
      <c r="E88" s="43">
        <f ca="1">INDIRECT(ADDRESS(D77+27,5,4,TRUE,"Motorcycle"))</f>
        <v>4943.3569950230849</v>
      </c>
      <c r="F88" s="43">
        <f ca="1">INDIRECT(ADDRESS(D77+27,6,4,TRUE,"Motorcycle"))</f>
        <v>5132.0279140441307</v>
      </c>
      <c r="G88" s="43">
        <f ca="1">INDIRECT(ADDRESS($D77+27,7,4,TRUE,"Motorcycle"))</f>
        <v>5199.992387503873</v>
      </c>
      <c r="H88" s="43">
        <f ca="1">INDIRECT(ADDRESS($D77+27,8,4,TRUE,"Motorcycle"))</f>
        <v>5366.4183671577021</v>
      </c>
      <c r="I88" s="43">
        <f ca="1">INDIRECT(ADDRESS(D77+27,9,4,TRUE,"Motorcycle"))</f>
        <v>5661.333466070555</v>
      </c>
      <c r="J88" s="43">
        <f ca="1">INDIRECT(ADDRESS(D77+27,10,4,TRUE,"Motorcycle"))</f>
        <v>5907.4529862347854</v>
      </c>
      <c r="K88" s="43">
        <f ca="1">INDIRECT(ADDRESS(D77+27,11,4,TRUE,"Motorcycle"))</f>
        <v>6029.4093437780493</v>
      </c>
      <c r="L88" s="43">
        <f ca="1">INDIRECT(ADDRESS(D77+27,12,4,TRUE,"Motorcycle"))</f>
        <v>6080.8071529908766</v>
      </c>
      <c r="M88" s="43">
        <f ca="1">INDIRECT(ADDRESS(D77+27,13,4,TRUE,"Motorcycle"))</f>
        <v>6017.6250382657399</v>
      </c>
      <c r="N88" s="43">
        <f ca="1">INDIRECT(ADDRESS(D77+27,14,4,TRUE,"Motorcycle"))</f>
        <v>5926.9320185267443</v>
      </c>
      <c r="O88" s="43">
        <f ca="1">INDIRECT(ADDRESS(D77+27,15,4,TRUE,"Motorcycle"))</f>
        <v>6039.0425077824839</v>
      </c>
      <c r="P88" s="43">
        <f ca="1">INDIRECT(ADDRESS(D77+27,16,4,TRUE,"Motorcycle"))</f>
        <v>6137.7374144475843</v>
      </c>
      <c r="Q88" s="44">
        <f ca="1">INDIRECT(ADDRESS(D77+27,17,4,TRUE,"Motorcycle"))</f>
        <v>6228.7537443195342</v>
      </c>
    </row>
    <row r="89" spans="3:17" ht="16.5" thickTop="1" thickBot="1" x14ac:dyDescent="0.4">
      <c r="C89" s="31" t="s">
        <v>45</v>
      </c>
      <c r="D89" s="189">
        <f ca="1">SUM(D82:D88)</f>
        <v>118111.90005370096</v>
      </c>
      <c r="E89" s="48">
        <f t="shared" ref="E89:N89" ca="1" si="10">SUM(E82:E88)</f>
        <v>120242.41851500831</v>
      </c>
      <c r="F89" s="48">
        <f t="shared" ca="1" si="10"/>
        <v>122557.21588919677</v>
      </c>
      <c r="G89" s="48">
        <f t="shared" ca="1" si="10"/>
        <v>127079.36260454822</v>
      </c>
      <c r="H89" s="48">
        <f t="shared" ca="1" si="10"/>
        <v>132631.94699798117</v>
      </c>
      <c r="I89" s="48">
        <f t="shared" ca="1" si="10"/>
        <v>132436.73327400791</v>
      </c>
      <c r="J89" s="48">
        <f t="shared" ca="1" si="10"/>
        <v>142831.92804660206</v>
      </c>
      <c r="K89" s="48">
        <f t="shared" ca="1" si="10"/>
        <v>143457.23855579997</v>
      </c>
      <c r="L89" s="48">
        <f t="shared" ca="1" si="10"/>
        <v>142702.48711375121</v>
      </c>
      <c r="M89" s="48">
        <f t="shared" ca="1" si="10"/>
        <v>140264.64098556119</v>
      </c>
      <c r="N89" s="48">
        <f t="shared" ca="1" si="10"/>
        <v>137460.45732853917</v>
      </c>
      <c r="O89" s="48">
        <f t="shared" ref="O89:Q89" ca="1" si="11">SUM(O82:O88)</f>
        <v>133101.15920585277</v>
      </c>
      <c r="P89" s="48">
        <f t="shared" ca="1" si="11"/>
        <v>128302.79258431491</v>
      </c>
      <c r="Q89" s="49">
        <f t="shared" ca="1" si="11"/>
        <v>123092.99973320142</v>
      </c>
    </row>
    <row r="90" spans="3:17" ht="13" thickTop="1" x14ac:dyDescent="0.25"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43"/>
    </row>
    <row r="91" spans="3:17" ht="13" thickBot="1" x14ac:dyDescent="0.3"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43"/>
    </row>
    <row r="92" spans="3:17" ht="16.5" thickTop="1" thickBot="1" x14ac:dyDescent="0.4">
      <c r="C92" s="180" t="str">
        <f ca="1">INDIRECT(ADDRESS(D92+27,3,4,TRUE,"Car+SUV"))</f>
        <v>Taranaki</v>
      </c>
      <c r="D92" s="190">
        <v>7</v>
      </c>
      <c r="E92" s="145" t="s">
        <v>170</v>
      </c>
      <c r="F92" s="145"/>
      <c r="G92" s="145"/>
      <c r="H92" s="145"/>
      <c r="I92" s="145"/>
      <c r="J92" s="145"/>
      <c r="K92" s="145"/>
      <c r="L92" s="145"/>
      <c r="M92" s="145"/>
      <c r="N92" s="43"/>
    </row>
    <row r="93" spans="3:17" ht="13.5" thickTop="1" thickBot="1" x14ac:dyDescent="0.3"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43"/>
    </row>
    <row r="94" spans="3:17" ht="16" thickTop="1" x14ac:dyDescent="0.35">
      <c r="C94" s="32" t="s">
        <v>46</v>
      </c>
      <c r="D94" s="183"/>
      <c r="E94" s="183"/>
      <c r="F94" s="183"/>
      <c r="G94" s="183"/>
      <c r="H94" s="183"/>
      <c r="I94" s="183"/>
      <c r="J94" s="40"/>
      <c r="K94" s="40"/>
      <c r="L94" s="40"/>
      <c r="M94" s="40"/>
      <c r="N94" s="40"/>
      <c r="O94" s="34"/>
      <c r="P94" s="34"/>
      <c r="Q94" s="35"/>
    </row>
    <row r="95" spans="3:17" ht="13.5" thickBot="1" x14ac:dyDescent="0.35">
      <c r="C95" s="36"/>
      <c r="D95" s="184" t="s">
        <v>25</v>
      </c>
      <c r="E95" s="184" t="s">
        <v>37</v>
      </c>
      <c r="F95" s="184" t="s">
        <v>38</v>
      </c>
      <c r="G95" s="37" t="s">
        <v>177</v>
      </c>
      <c r="H95" s="37" t="s">
        <v>178</v>
      </c>
      <c r="I95" s="184" t="s">
        <v>26</v>
      </c>
      <c r="J95" s="184" t="s">
        <v>27</v>
      </c>
      <c r="K95" s="184" t="s">
        <v>28</v>
      </c>
      <c r="L95" s="184" t="s">
        <v>29</v>
      </c>
      <c r="M95" s="184" t="s">
        <v>30</v>
      </c>
      <c r="N95" s="184" t="s">
        <v>31</v>
      </c>
      <c r="O95" s="37" t="s">
        <v>174</v>
      </c>
      <c r="P95" s="37" t="s">
        <v>175</v>
      </c>
      <c r="Q95" s="38" t="s">
        <v>176</v>
      </c>
    </row>
    <row r="96" spans="3:17" ht="14" thickTop="1" thickBot="1" x14ac:dyDescent="0.35">
      <c r="C96" s="70"/>
      <c r="D96" s="185" t="s">
        <v>39</v>
      </c>
      <c r="E96" s="186" t="s">
        <v>39</v>
      </c>
      <c r="F96" s="186" t="s">
        <v>39</v>
      </c>
      <c r="G96" s="65" t="s">
        <v>39</v>
      </c>
      <c r="H96" s="65" t="s">
        <v>39</v>
      </c>
      <c r="I96" s="186" t="s">
        <v>39</v>
      </c>
      <c r="J96" s="186" t="s">
        <v>32</v>
      </c>
      <c r="K96" s="186" t="s">
        <v>32</v>
      </c>
      <c r="L96" s="186" t="s">
        <v>32</v>
      </c>
      <c r="M96" s="186" t="s">
        <v>32</v>
      </c>
      <c r="N96" s="186" t="s">
        <v>32</v>
      </c>
      <c r="O96" s="65" t="s">
        <v>32</v>
      </c>
      <c r="P96" s="65" t="s">
        <v>32</v>
      </c>
      <c r="Q96" s="66" t="s">
        <v>32</v>
      </c>
    </row>
    <row r="97" spans="3:17" ht="16" thickTop="1" x14ac:dyDescent="0.35">
      <c r="C97" s="24" t="s">
        <v>113</v>
      </c>
      <c r="D97" s="42">
        <f ca="1">INDIRECT(ADDRESS(D92+27,4,4,TRUE,"Car+SUV"))-D99</f>
        <v>69368.50443677466</v>
      </c>
      <c r="E97" s="40">
        <f ca="1">INDIRECT(ADDRESS(D92+27,5,4,TRUE,"Car+SUV"))-E99</f>
        <v>71159.723623058235</v>
      </c>
      <c r="F97" s="40">
        <f ca="1">INDIRECT(ADDRESS(D92+27,6,4,TRUE,"Car+SUV"))-F99</f>
        <v>72025.367835245997</v>
      </c>
      <c r="G97" s="40">
        <f ca="1">INDIRECT(ADDRESS($D92+27,7,4,TRUE,"Car+SUV"))-G99</f>
        <v>73259.912879703625</v>
      </c>
      <c r="H97" s="40">
        <f ca="1">INDIRECT(ADDRESS($D92+27,8,4,TRUE,"Car+SUV"))-H99</f>
        <v>74530.447315389669</v>
      </c>
      <c r="I97" s="40">
        <f ca="1">INDIRECT(ADDRESS(D92+27,9,4,TRUE,"Car+SUV"))-I99</f>
        <v>75862.399891378431</v>
      </c>
      <c r="J97" s="40">
        <f ca="1">INDIRECT(ADDRESS(D92+27,10,4,TRUE,"Car+SUV"))-J99</f>
        <v>82555.914196425656</v>
      </c>
      <c r="K97" s="40">
        <f ca="1">INDIRECT(ADDRESS(D92+27,11,4,TRUE,"Car+SUV"))-K99</f>
        <v>80033.12170086152</v>
      </c>
      <c r="L97" s="40">
        <f ca="1">INDIRECT(ADDRESS(D92+27,12,4,TRUE,"Car+SUV"))-L99</f>
        <v>75910.540093583579</v>
      </c>
      <c r="M97" s="40">
        <f ca="1">INDIRECT(ADDRESS(D92+27,13,4,TRUE,"Car+SUV"))-M99</f>
        <v>70872.986967502991</v>
      </c>
      <c r="N97" s="40">
        <f ca="1">INDIRECT(ADDRESS(D92+27,14,4,TRUE,"Car+SUV"))-N99</f>
        <v>65293.08887027092</v>
      </c>
      <c r="O97" s="40">
        <f ca="1">INDIRECT(ADDRESS(D92+27,15,4,TRUE,"Car+SUV"))-O99</f>
        <v>58159.712868564355</v>
      </c>
      <c r="P97" s="40">
        <f ca="1">INDIRECT(ADDRESS(D92+27,16,4,TRUE,"Car+SUV"))-P99</f>
        <v>50560.706686408317</v>
      </c>
      <c r="Q97" s="41">
        <f ca="1">INDIRECT(ADDRESS(D92+27,17,4,TRUE,"Car+SUV"))-Q99</f>
        <v>42547.488140301517</v>
      </c>
    </row>
    <row r="98" spans="3:17" ht="15.5" x14ac:dyDescent="0.35">
      <c r="C98" s="24" t="s">
        <v>114</v>
      </c>
      <c r="D98" s="42">
        <f ca="1">INDIRECT(ADDRESS(D92+27,4,4,TRUE,"Van+Ute"))-D100</f>
        <v>14168.272381789251</v>
      </c>
      <c r="E98" s="43">
        <f ca="1">INDIRECT(ADDRESS(D92+27,5,4,TRUE,"Van+Ute"))-E100</f>
        <v>14833.92259916243</v>
      </c>
      <c r="F98" s="43">
        <f ca="1">INDIRECT(ADDRESS(D92+27,6,4,TRUE,"Van+Ute"))-F100</f>
        <v>15377.650170660454</v>
      </c>
      <c r="G98" s="43">
        <f ca="1">INDIRECT(ADDRESS($D92+27,7,4,TRUE,"Van+Ute"))-G100</f>
        <v>15886.678361221431</v>
      </c>
      <c r="H98" s="43">
        <f ca="1">INDIRECT(ADDRESS($D92+27,8,4,TRUE,"Van+Ute"))-H100</f>
        <v>16465.693375187133</v>
      </c>
      <c r="I98" s="43">
        <f ca="1">INDIRECT(ADDRESS(D92+27,9,4,TRUE,"Van+Ute"))-I100</f>
        <v>17151.173281045467</v>
      </c>
      <c r="J98" s="43">
        <f ca="1">INDIRECT(ADDRESS(D92+27,10,4,TRUE,"Van+Ute"))-J100</f>
        <v>18911.187980080886</v>
      </c>
      <c r="K98" s="43">
        <f ca="1">INDIRECT(ADDRESS(D92+27,11,4,TRUE,"Van+Ute"))-K100</f>
        <v>19072.424526315248</v>
      </c>
      <c r="L98" s="43">
        <f ca="1">INDIRECT(ADDRESS(D92+27,12,4,TRUE,"Van+Ute"))-L100</f>
        <v>18973.175459413247</v>
      </c>
      <c r="M98" s="43">
        <f ca="1">INDIRECT(ADDRESS(D92+27,13,4,TRUE,"Van+Ute"))-M100</f>
        <v>18765.663714156053</v>
      </c>
      <c r="N98" s="43">
        <f ca="1">INDIRECT(ADDRESS(D92+27,14,4,TRUE,"Van+Ute"))-N100</f>
        <v>18538.6114344733</v>
      </c>
      <c r="O98" s="43">
        <f ca="1">INDIRECT(ADDRESS(D92+27,15,4,TRUE,"Van+Ute"))-O100</f>
        <v>18102.515063324594</v>
      </c>
      <c r="P98" s="43">
        <f ca="1">INDIRECT(ADDRESS(D92+27,16,4,TRUE,"Van+Ute"))-P100</f>
        <v>17593.735413477352</v>
      </c>
      <c r="Q98" s="44">
        <f ca="1">INDIRECT(ADDRESS(D92+27,17,4,TRUE,"Van+Ute"))-Q100</f>
        <v>16990.941342027829</v>
      </c>
    </row>
    <row r="99" spans="3:17" ht="15.5" x14ac:dyDescent="0.35">
      <c r="C99" s="24" t="s">
        <v>115</v>
      </c>
      <c r="D99" s="42">
        <f ca="1">INDIRECT(ADDRESS(D92+150,4,4,TRUE,"Car+SUV"))</f>
        <v>83.021252080399435</v>
      </c>
      <c r="E99" s="43">
        <f ca="1">INDIRECT(ADDRESS(D92+150,5,4,TRUE,"Car+SUV"))</f>
        <v>89.022429435483872</v>
      </c>
      <c r="F99" s="43">
        <f ca="1">INDIRECT(ADDRESS(D92+150,6,4,TRUE,"Car+SUV"))</f>
        <v>86.020263901979263</v>
      </c>
      <c r="G99" s="43">
        <f ca="1">INDIRECT(ADDRESS($D92+150,7,4,TRUE,"Car+SUV"))</f>
        <v>82.01663117330898</v>
      </c>
      <c r="H99" s="43">
        <f ca="1">INDIRECT(ADDRESS($D92+150,8,4,TRUE,"Car+SUV"))</f>
        <v>92.017781213761111</v>
      </c>
      <c r="I99" s="43">
        <f ca="1">INDIRECT(ADDRESS(D92+150,9,4,TRUE,"Car+SUV"))</f>
        <v>93.011499227202464</v>
      </c>
      <c r="J99" s="43">
        <f ca="1">INDIRECT(ADDRESS(D92+150,10,4,TRUE,"Car+SUV"))</f>
        <v>109.3727413592776</v>
      </c>
      <c r="K99" s="43">
        <f ca="1">INDIRECT(ADDRESS(D92+150,11,4,TRUE,"Car+SUV"))</f>
        <v>2233.5196250251597</v>
      </c>
      <c r="L99" s="43">
        <f ca="1">INDIRECT(ADDRESS(D92+150,12,4,TRUE,"Car+SUV"))</f>
        <v>4526.8966877306239</v>
      </c>
      <c r="M99" s="43">
        <f ca="1">INDIRECT(ADDRESS(D92+150,13,4,TRUE,"Car+SUV"))</f>
        <v>6921.6283240688344</v>
      </c>
      <c r="N99" s="43">
        <f ca="1">INDIRECT(ADDRESS(D92+150,14,4,TRUE,"Car+SUV"))</f>
        <v>9409.3035308102408</v>
      </c>
      <c r="O99" s="43">
        <f ca="1">INDIRECT(ADDRESS(D92+150,15,4,TRUE,"Car+SUV"))</f>
        <v>11984.338355697837</v>
      </c>
      <c r="P99" s="43">
        <f ca="1">INDIRECT(ADDRESS(D92+150,16,4,TRUE,"Car+SUV"))</f>
        <v>14627.529223202346</v>
      </c>
      <c r="Q99" s="44">
        <f ca="1">INDIRECT(ADDRESS(D92+150,17,4,TRUE,"Car+SUV"))</f>
        <v>17337.727508332515</v>
      </c>
    </row>
    <row r="100" spans="3:17" ht="15.5" x14ac:dyDescent="0.35">
      <c r="C100" s="24" t="s">
        <v>116</v>
      </c>
      <c r="D100" s="42">
        <f ca="1">INDIRECT(ADDRESS(D92+150,4,4,TRUE,"Van+Ute"))</f>
        <v>32</v>
      </c>
      <c r="E100" s="43">
        <f ca="1">INDIRECT(ADDRESS(D92+150,5,4,TRUE,"Van+Ute"))</f>
        <v>36</v>
      </c>
      <c r="F100" s="43">
        <f ca="1">INDIRECT(ADDRESS(D92+150,6,4,TRUE,"Van+Ute"))</f>
        <v>36</v>
      </c>
      <c r="G100" s="43">
        <f ca="1">INDIRECT(ADDRESS($D92+150,7,4,TRUE,"Van+Ute"))</f>
        <v>35</v>
      </c>
      <c r="H100" s="43">
        <f ca="1">INDIRECT(ADDRESS($D92+150,8,4,TRUE,"Van+Ute"))</f>
        <v>38</v>
      </c>
      <c r="I100" s="43">
        <f ca="1">INDIRECT(ADDRESS(D92+150,9,4,TRUE,"Van+Ute"))</f>
        <v>49</v>
      </c>
      <c r="J100" s="43">
        <f ca="1">INDIRECT(ADDRESS(D92+150,10,4,TRUE,"Van+Ute"))</f>
        <v>57.619373638020164</v>
      </c>
      <c r="K100" s="43">
        <f ca="1">INDIRECT(ADDRESS(D92+150,11,4,TRUE,"Van+Ute"))</f>
        <v>766.16527801679865</v>
      </c>
      <c r="L100" s="43">
        <f ca="1">INDIRECT(ADDRESS(D92+150,12,4,TRUE,"Van+Ute"))</f>
        <v>1530.8845540210345</v>
      </c>
      <c r="M100" s="43">
        <f ca="1">INDIRECT(ADDRESS(D92+150,13,4,TRUE,"Van+Ute"))</f>
        <v>2329.3243058987132</v>
      </c>
      <c r="N100" s="43">
        <f ca="1">INDIRECT(ADDRESS(D92+150,14,4,TRUE,"Van+Ute"))</f>
        <v>3158.9516053826414</v>
      </c>
      <c r="O100" s="43">
        <f ca="1">INDIRECT(ADDRESS(D92+150,15,4,TRUE,"Van+Ute"))</f>
        <v>4017.4288892328245</v>
      </c>
      <c r="P100" s="43">
        <f ca="1">INDIRECT(ADDRESS(D92+150,16,4,TRUE,"Van+Ute"))</f>
        <v>4898.8574147551371</v>
      </c>
      <c r="Q100" s="44">
        <f ca="1">INDIRECT(ADDRESS(D92+150,17,4,TRUE,"Van+Ute"))</f>
        <v>5802.8962775451746</v>
      </c>
    </row>
    <row r="101" spans="3:17" ht="15.5" x14ac:dyDescent="0.35">
      <c r="C101" s="24" t="s">
        <v>43</v>
      </c>
      <c r="D101" s="187" t="s">
        <v>108</v>
      </c>
      <c r="E101" s="188" t="s">
        <v>108</v>
      </c>
      <c r="F101" s="188" t="s">
        <v>108</v>
      </c>
      <c r="G101" s="188" t="s">
        <v>108</v>
      </c>
      <c r="H101" s="188" t="s">
        <v>108</v>
      </c>
      <c r="I101" s="188" t="s">
        <v>108</v>
      </c>
      <c r="J101" s="188" t="s">
        <v>108</v>
      </c>
      <c r="K101" s="188" t="s">
        <v>108</v>
      </c>
      <c r="L101" s="188" t="s">
        <v>108</v>
      </c>
      <c r="M101" s="188" t="s">
        <v>108</v>
      </c>
      <c r="N101" s="188" t="s">
        <v>108</v>
      </c>
      <c r="O101" s="188" t="s">
        <v>108</v>
      </c>
      <c r="P101" s="188" t="s">
        <v>108</v>
      </c>
      <c r="Q101" s="194" t="s">
        <v>108</v>
      </c>
    </row>
    <row r="102" spans="3:17" ht="15.5" x14ac:dyDescent="0.35">
      <c r="C102" s="24" t="s">
        <v>44</v>
      </c>
      <c r="D102" s="187" t="s">
        <v>108</v>
      </c>
      <c r="E102" s="188" t="s">
        <v>108</v>
      </c>
      <c r="F102" s="188" t="s">
        <v>108</v>
      </c>
      <c r="G102" s="188" t="s">
        <v>108</v>
      </c>
      <c r="H102" s="188" t="s">
        <v>108</v>
      </c>
      <c r="I102" s="188" t="s">
        <v>108</v>
      </c>
      <c r="J102" s="188" t="s">
        <v>108</v>
      </c>
      <c r="K102" s="188" t="s">
        <v>108</v>
      </c>
      <c r="L102" s="188" t="s">
        <v>108</v>
      </c>
      <c r="M102" s="188" t="s">
        <v>108</v>
      </c>
      <c r="N102" s="188" t="s">
        <v>108</v>
      </c>
      <c r="O102" s="188" t="s">
        <v>108</v>
      </c>
      <c r="P102" s="188" t="s">
        <v>108</v>
      </c>
      <c r="Q102" s="194" t="s">
        <v>108</v>
      </c>
    </row>
    <row r="103" spans="3:17" ht="16" thickBot="1" x14ac:dyDescent="0.4">
      <c r="C103" s="24" t="s">
        <v>42</v>
      </c>
      <c r="D103" s="42">
        <f ca="1">INDIRECT(ADDRESS(D92+27,4,4,TRUE,"Motorcycle"))</f>
        <v>5425.1680138024021</v>
      </c>
      <c r="E103" s="43">
        <f ca="1">INDIRECT(ADDRESS(D92+27,5,4,TRUE,"Motorcycle"))</f>
        <v>5490.4478877529118</v>
      </c>
      <c r="F103" s="43">
        <f ca="1">INDIRECT(ADDRESS(D92+27,6,4,TRUE,"Motorcycle"))</f>
        <v>5640.5707511641767</v>
      </c>
      <c r="G103" s="43">
        <f ca="1">INDIRECT(ADDRESS($D92+27,7,4,TRUE,"Motorcycle"))</f>
        <v>5667.9309311397883</v>
      </c>
      <c r="H103" s="43">
        <f ca="1">INDIRECT(ADDRESS($D92+27,8,4,TRUE,"Motorcycle"))</f>
        <v>5835.5180599256955</v>
      </c>
      <c r="I103" s="43">
        <f ca="1">INDIRECT(ADDRESS(D92+27,9,4,TRUE,"Motorcycle"))</f>
        <v>6005.484315890455</v>
      </c>
      <c r="J103" s="43">
        <f ca="1">INDIRECT(ADDRESS(D92+27,10,4,TRUE,"Motorcycle"))</f>
        <v>6319.3575130114286</v>
      </c>
      <c r="K103" s="43">
        <f ca="1">INDIRECT(ADDRESS(D92+27,11,4,TRUE,"Motorcycle"))</f>
        <v>6496.5991694820814</v>
      </c>
      <c r="L103" s="43">
        <f ca="1">INDIRECT(ADDRESS(D92+27,12,4,TRUE,"Motorcycle"))</f>
        <v>6606.5939318565388</v>
      </c>
      <c r="M103" s="43">
        <f ca="1">INDIRECT(ADDRESS(D92+27,13,4,TRUE,"Motorcycle"))</f>
        <v>6595.0154508615769</v>
      </c>
      <c r="N103" s="43">
        <f ca="1">INDIRECT(ADDRESS(D92+27,14,4,TRUE,"Motorcycle"))</f>
        <v>6551.6709523531481</v>
      </c>
      <c r="O103" s="43">
        <f ca="1">INDIRECT(ADDRESS(D92+27,15,4,TRUE,"Motorcycle"))</f>
        <v>6731.9495967315488</v>
      </c>
      <c r="P103" s="43">
        <f ca="1">INDIRECT(ADDRESS(D92+27,16,4,TRUE,"Motorcycle"))</f>
        <v>6898.4199849534216</v>
      </c>
      <c r="Q103" s="44">
        <f ca="1">INDIRECT(ADDRESS(D92+27,17,4,TRUE,"Motorcycle"))</f>
        <v>7057.1254649403736</v>
      </c>
    </row>
    <row r="104" spans="3:17" ht="16.5" thickTop="1" thickBot="1" x14ac:dyDescent="0.4">
      <c r="C104" s="31" t="s">
        <v>45</v>
      </c>
      <c r="D104" s="189">
        <f ca="1">SUM(D97:D103)</f>
        <v>89076.966084446729</v>
      </c>
      <c r="E104" s="48">
        <f t="shared" ref="E104:N104" ca="1" si="12">SUM(E97:E103)</f>
        <v>91609.116539409064</v>
      </c>
      <c r="F104" s="48">
        <f t="shared" ca="1" si="12"/>
        <v>93165.609020972624</v>
      </c>
      <c r="G104" s="48">
        <f t="shared" ca="1" si="12"/>
        <v>94931.53880323816</v>
      </c>
      <c r="H104" s="48">
        <f t="shared" ca="1" si="12"/>
        <v>96961.676531716264</v>
      </c>
      <c r="I104" s="48">
        <f t="shared" ca="1" si="12"/>
        <v>99161.068987541556</v>
      </c>
      <c r="J104" s="48">
        <f t="shared" ca="1" si="12"/>
        <v>107953.45180451527</v>
      </c>
      <c r="K104" s="48">
        <f t="shared" ca="1" si="12"/>
        <v>108601.8302997008</v>
      </c>
      <c r="L104" s="48">
        <f t="shared" ca="1" si="12"/>
        <v>107548.09072660502</v>
      </c>
      <c r="M104" s="48">
        <f t="shared" ca="1" si="12"/>
        <v>105484.61876248817</v>
      </c>
      <c r="N104" s="48">
        <f t="shared" ca="1" si="12"/>
        <v>102951.62639329024</v>
      </c>
      <c r="O104" s="48">
        <f t="shared" ref="O104:Q104" ca="1" si="13">SUM(O97:O103)</f>
        <v>98995.944773551149</v>
      </c>
      <c r="P104" s="48">
        <f t="shared" ca="1" si="13"/>
        <v>94579.248722796576</v>
      </c>
      <c r="Q104" s="49">
        <f t="shared" ca="1" si="13"/>
        <v>89736.178733147419</v>
      </c>
    </row>
    <row r="105" spans="3:17" ht="13" thickTop="1" x14ac:dyDescent="0.25"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43"/>
    </row>
    <row r="106" spans="3:17" ht="13" thickBot="1" x14ac:dyDescent="0.3"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43"/>
    </row>
    <row r="107" spans="3:17" ht="16.5" thickTop="1" thickBot="1" x14ac:dyDescent="0.4">
      <c r="C107" s="180" t="str">
        <f ca="1">INDIRECT(ADDRESS(D107+27,3,4,TRUE,"Car+SUV"))</f>
        <v>Manawatu</v>
      </c>
      <c r="D107" s="190">
        <v>8</v>
      </c>
      <c r="E107" s="145" t="s">
        <v>170</v>
      </c>
      <c r="F107" s="145"/>
      <c r="G107" s="145"/>
      <c r="H107" s="145"/>
      <c r="I107" s="145"/>
      <c r="J107" s="145"/>
      <c r="K107" s="145"/>
      <c r="L107" s="145"/>
      <c r="M107" s="145"/>
      <c r="N107" s="43"/>
    </row>
    <row r="108" spans="3:17" ht="13.5" thickTop="1" thickBot="1" x14ac:dyDescent="0.3"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43"/>
    </row>
    <row r="109" spans="3:17" ht="16" thickTop="1" x14ac:dyDescent="0.35">
      <c r="C109" s="32" t="s">
        <v>46</v>
      </c>
      <c r="D109" s="183"/>
      <c r="E109" s="183"/>
      <c r="F109" s="183"/>
      <c r="G109" s="183"/>
      <c r="H109" s="183"/>
      <c r="I109" s="183"/>
      <c r="J109" s="40"/>
      <c r="K109" s="40"/>
      <c r="L109" s="40"/>
      <c r="M109" s="40"/>
      <c r="N109" s="40"/>
      <c r="O109" s="34"/>
      <c r="P109" s="34"/>
      <c r="Q109" s="35"/>
    </row>
    <row r="110" spans="3:17" ht="13.5" thickBot="1" x14ac:dyDescent="0.35">
      <c r="C110" s="36"/>
      <c r="D110" s="184" t="s">
        <v>25</v>
      </c>
      <c r="E110" s="184" t="s">
        <v>37</v>
      </c>
      <c r="F110" s="184" t="s">
        <v>38</v>
      </c>
      <c r="G110" s="37" t="s">
        <v>177</v>
      </c>
      <c r="H110" s="37" t="s">
        <v>178</v>
      </c>
      <c r="I110" s="184" t="s">
        <v>26</v>
      </c>
      <c r="J110" s="184" t="s">
        <v>27</v>
      </c>
      <c r="K110" s="184" t="s">
        <v>28</v>
      </c>
      <c r="L110" s="184" t="s">
        <v>29</v>
      </c>
      <c r="M110" s="184" t="s">
        <v>30</v>
      </c>
      <c r="N110" s="184" t="s">
        <v>31</v>
      </c>
      <c r="O110" s="37" t="s">
        <v>174</v>
      </c>
      <c r="P110" s="37" t="s">
        <v>175</v>
      </c>
      <c r="Q110" s="38" t="s">
        <v>176</v>
      </c>
    </row>
    <row r="111" spans="3:17" ht="14" thickTop="1" thickBot="1" x14ac:dyDescent="0.35">
      <c r="C111" s="70"/>
      <c r="D111" s="185" t="s">
        <v>39</v>
      </c>
      <c r="E111" s="186" t="s">
        <v>39</v>
      </c>
      <c r="F111" s="186" t="s">
        <v>39</v>
      </c>
      <c r="G111" s="65" t="s">
        <v>39</v>
      </c>
      <c r="H111" s="65" t="s">
        <v>39</v>
      </c>
      <c r="I111" s="186" t="s">
        <v>39</v>
      </c>
      <c r="J111" s="186" t="s">
        <v>32</v>
      </c>
      <c r="K111" s="186" t="s">
        <v>32</v>
      </c>
      <c r="L111" s="186" t="s">
        <v>32</v>
      </c>
      <c r="M111" s="186" t="s">
        <v>32</v>
      </c>
      <c r="N111" s="186" t="s">
        <v>32</v>
      </c>
      <c r="O111" s="65" t="s">
        <v>32</v>
      </c>
      <c r="P111" s="65" t="s">
        <v>32</v>
      </c>
      <c r="Q111" s="66" t="s">
        <v>32</v>
      </c>
    </row>
    <row r="112" spans="3:17" ht="16" thickTop="1" x14ac:dyDescent="0.35">
      <c r="C112" s="24" t="s">
        <v>113</v>
      </c>
      <c r="D112" s="42">
        <f ca="1">INDIRECT(ADDRESS(D107+27,4,4,TRUE,"Car+SUV"))-D114</f>
        <v>139118.63632789496</v>
      </c>
      <c r="E112" s="40">
        <f ca="1">INDIRECT(ADDRESS(D107+27,5,4,TRUE,"Car+SUV"))-E114</f>
        <v>140884.66423313753</v>
      </c>
      <c r="F112" s="40">
        <f ca="1">INDIRECT(ADDRESS(D107+27,6,4,TRUE,"Car+SUV"))-F114</f>
        <v>143852.29786635653</v>
      </c>
      <c r="G112" s="40">
        <f ca="1">INDIRECT(ADDRESS($D107+27,7,4,TRUE,"Car+SUV"))-G114</f>
        <v>147595.93862903633</v>
      </c>
      <c r="H112" s="40">
        <f ca="1">INDIRECT(ADDRESS($D107+27,8,4,TRUE,"Car+SUV"))-H114</f>
        <v>151671.56936519183</v>
      </c>
      <c r="I112" s="40">
        <f ca="1">INDIRECT(ADDRESS(D107+27,9,4,TRUE,"Car+SUV"))-I114</f>
        <v>150678.02071583355</v>
      </c>
      <c r="J112" s="40">
        <f ca="1">INDIRECT(ADDRESS(D107+27,10,4,TRUE,"Car+SUV"))-J114</f>
        <v>159818.2036744935</v>
      </c>
      <c r="K112" s="40">
        <f ca="1">INDIRECT(ADDRESS(D107+27,11,4,TRUE,"Car+SUV"))-K114</f>
        <v>151532.8142931386</v>
      </c>
      <c r="L112" s="40">
        <f ca="1">INDIRECT(ADDRESS(D107+27,12,4,TRUE,"Car+SUV"))-L114</f>
        <v>141649.21274685848</v>
      </c>
      <c r="M112" s="40">
        <f ca="1">INDIRECT(ADDRESS(D107+27,13,4,TRUE,"Car+SUV"))-M114</f>
        <v>129590.79242460261</v>
      </c>
      <c r="N112" s="40">
        <f ca="1">INDIRECT(ADDRESS(D107+27,14,4,TRUE,"Car+SUV"))-N114</f>
        <v>117118.1674443385</v>
      </c>
      <c r="O112" s="40">
        <f ca="1">INDIRECT(ADDRESS(D107+27,15,4,TRUE,"Car+SUV"))-O114</f>
        <v>102491.96952035319</v>
      </c>
      <c r="P112" s="40">
        <f ca="1">INDIRECT(ADDRESS(D107+27,16,4,TRUE,"Car+SUV"))-P114</f>
        <v>87607.490305494299</v>
      </c>
      <c r="Q112" s="41">
        <f ca="1">INDIRECT(ADDRESS(D107+27,17,4,TRUE,"Car+SUV"))-Q114</f>
        <v>72574.310627859173</v>
      </c>
    </row>
    <row r="113" spans="3:17" ht="15.5" x14ac:dyDescent="0.35">
      <c r="C113" s="24" t="s">
        <v>114</v>
      </c>
      <c r="D113" s="42">
        <f ca="1">INDIRECT(ADDRESS(D107+27,4,4,TRUE,"Van+Ute"))-D115</f>
        <v>28243.755748022464</v>
      </c>
      <c r="E113" s="43">
        <f ca="1">INDIRECT(ADDRESS(D107+27,5,4,TRUE,"Van+Ute"))-E115</f>
        <v>29323.233841753048</v>
      </c>
      <c r="F113" s="43">
        <f ca="1">INDIRECT(ADDRESS(D107+27,6,4,TRUE,"Van+Ute"))-F115</f>
        <v>30686.775079626481</v>
      </c>
      <c r="G113" s="43">
        <f ca="1">INDIRECT(ADDRESS($D107+27,7,4,TRUE,"Van+Ute"))-G115</f>
        <v>32572.066889883863</v>
      </c>
      <c r="H113" s="43">
        <f ca="1">INDIRECT(ADDRESS($D107+27,8,4,TRUE,"Van+Ute"))-H115</f>
        <v>34543.320405365143</v>
      </c>
      <c r="I113" s="43">
        <f ca="1">INDIRECT(ADDRESS(D107+27,9,4,TRUE,"Van+Ute"))-I115</f>
        <v>36001.196756608049</v>
      </c>
      <c r="J113" s="43">
        <f ca="1">INDIRECT(ADDRESS(D107+27,10,4,TRUE,"Van+Ute"))-J115</f>
        <v>38740.618660253291</v>
      </c>
      <c r="K113" s="43">
        <f ca="1">INDIRECT(ADDRESS(D107+27,11,4,TRUE,"Van+Ute"))-K115</f>
        <v>38268.062825288442</v>
      </c>
      <c r="L113" s="43">
        <f ca="1">INDIRECT(ADDRESS(D107+27,12,4,TRUE,"Van+Ute"))-L115</f>
        <v>37479.64627537562</v>
      </c>
      <c r="M113" s="43">
        <f ca="1">INDIRECT(ADDRESS(D107+27,13,4,TRUE,"Van+Ute"))-M115</f>
        <v>36347.830347548093</v>
      </c>
      <c r="N113" s="43">
        <f ca="1">INDIRECT(ADDRESS(D107+27,14,4,TRUE,"Van+Ute"))-N115</f>
        <v>35221.263100431926</v>
      </c>
      <c r="O113" s="43">
        <f ca="1">INDIRECT(ADDRESS(D107+27,15,4,TRUE,"Van+Ute"))-O115</f>
        <v>33762.668246251189</v>
      </c>
      <c r="P113" s="43">
        <f ca="1">INDIRECT(ADDRESS(D107+27,16,4,TRUE,"Van+Ute"))-P115</f>
        <v>32220.487540447692</v>
      </c>
      <c r="Q113" s="44">
        <f ca="1">INDIRECT(ADDRESS(D107+27,17,4,TRUE,"Van+Ute"))-Q115</f>
        <v>30562.093965568441</v>
      </c>
    </row>
    <row r="114" spans="3:17" ht="15.5" x14ac:dyDescent="0.35">
      <c r="C114" s="24" t="s">
        <v>115</v>
      </c>
      <c r="D114" s="42">
        <f ca="1">INDIRECT(ADDRESS(D107+150,4,4,TRUE,"Car+SUV"))</f>
        <v>156.03994366918448</v>
      </c>
      <c r="E114" s="43">
        <f ca="1">INDIRECT(ADDRESS(D107+150,5,4,TRUE,"Car+SUV"))</f>
        <v>150.03780241935485</v>
      </c>
      <c r="F114" s="43">
        <f ca="1">INDIRECT(ADDRESS(D107+150,6,4,TRUE,"Car+SUV"))</f>
        <v>149.03510838831292</v>
      </c>
      <c r="G114" s="43">
        <f ca="1">INDIRECT(ADDRESS($D107+150,7,4,TRUE,"Car+SUV"))</f>
        <v>159.03224825068449</v>
      </c>
      <c r="H114" s="43">
        <f ca="1">INDIRECT(ADDRESS($D107+150,8,4,TRUE,"Car+SUV"))</f>
        <v>168.03247004252029</v>
      </c>
      <c r="I114" s="43">
        <f ca="1">INDIRECT(ADDRESS(D107+150,9,4,TRUE,"Car+SUV"))</f>
        <v>204.02522411128282</v>
      </c>
      <c r="J114" s="43">
        <f ca="1">INDIRECT(ADDRESS(D107+150,10,4,TRUE,"Car+SUV"))</f>
        <v>236.29908209859755</v>
      </c>
      <c r="K114" s="43">
        <f ca="1">INDIRECT(ADDRESS(D107+150,11,4,TRUE,"Car+SUV"))</f>
        <v>5176.1782785343103</v>
      </c>
      <c r="L114" s="43">
        <f ca="1">INDIRECT(ADDRESS(D107+150,12,4,TRUE,"Car+SUV"))</f>
        <v>10321.865680818397</v>
      </c>
      <c r="M114" s="43">
        <f ca="1">INDIRECT(ADDRESS(D107+150,13,4,TRUE,"Car+SUV"))</f>
        <v>15497.877715748353</v>
      </c>
      <c r="N114" s="43">
        <f ca="1">INDIRECT(ADDRESS(D107+150,14,4,TRUE,"Car+SUV"))</f>
        <v>20657.635605603227</v>
      </c>
      <c r="O114" s="43">
        <f ca="1">INDIRECT(ADDRESS(D107+150,15,4,TRUE,"Car+SUV"))</f>
        <v>25806.487531881925</v>
      </c>
      <c r="P114" s="43">
        <f ca="1">INDIRECT(ADDRESS(D107+150,16,4,TRUE,"Car+SUV"))</f>
        <v>30895.88537579797</v>
      </c>
      <c r="Q114" s="44">
        <f ca="1">INDIRECT(ADDRESS(D107+150,17,4,TRUE,"Car+SUV"))</f>
        <v>35924.044124268024</v>
      </c>
    </row>
    <row r="115" spans="3:17" ht="15.5" x14ac:dyDescent="0.35">
      <c r="C115" s="24" t="s">
        <v>116</v>
      </c>
      <c r="D115" s="42">
        <f ca="1">INDIRECT(ADDRESS(D107+150,4,4,TRUE,"Van+Ute"))</f>
        <v>102</v>
      </c>
      <c r="E115" s="43">
        <f ca="1">INDIRECT(ADDRESS(D107+150,5,4,TRUE,"Van+Ute"))</f>
        <v>107</v>
      </c>
      <c r="F115" s="43">
        <f ca="1">INDIRECT(ADDRESS(D107+150,6,4,TRUE,"Van+Ute"))</f>
        <v>97</v>
      </c>
      <c r="G115" s="43">
        <f ca="1">INDIRECT(ADDRESS($D107+150,7,4,TRUE,"Van+Ute"))</f>
        <v>97</v>
      </c>
      <c r="H115" s="43">
        <f ca="1">INDIRECT(ADDRESS($D107+150,8,4,TRUE,"Van+Ute"))</f>
        <v>201</v>
      </c>
      <c r="I115" s="43">
        <f ca="1">INDIRECT(ADDRESS(D107+150,9,4,TRUE,"Van+Ute"))</f>
        <v>127</v>
      </c>
      <c r="J115" s="43">
        <f ca="1">INDIRECT(ADDRESS(D107+150,10,4,TRUE,"Van+Ute"))</f>
        <v>147.08957462119167</v>
      </c>
      <c r="K115" s="43">
        <f ca="1">INDIRECT(ADDRESS(D107+150,11,4,TRUE,"Van+Ute"))</f>
        <v>1489.3422980872415</v>
      </c>
      <c r="L115" s="43">
        <f ca="1">INDIRECT(ADDRESS(D107+150,12,4,TRUE,"Van+Ute"))</f>
        <v>2886.6493645373048</v>
      </c>
      <c r="M115" s="43">
        <f ca="1">INDIRECT(ADDRESS(D107+150,13,4,TRUE,"Van+Ute"))</f>
        <v>4292.1888622081888</v>
      </c>
      <c r="N115" s="43">
        <f ca="1">INDIRECT(ADDRESS(D107+150,14,4,TRUE,"Van+Ute"))</f>
        <v>5694.3128506214034</v>
      </c>
      <c r="O115" s="43">
        <f ca="1">INDIRECT(ADDRESS(D107+150,15,4,TRUE,"Van+Ute"))</f>
        <v>7092.9648790554475</v>
      </c>
      <c r="P115" s="43">
        <f ca="1">INDIRECT(ADDRESS(D107+150,16,4,TRUE,"Van+Ute"))</f>
        <v>8476.7331449435314</v>
      </c>
      <c r="Q115" s="44">
        <f ca="1">INDIRECT(ADDRESS(D107+150,17,4,TRUE,"Van+Ute"))</f>
        <v>9845.3152971230211</v>
      </c>
    </row>
    <row r="116" spans="3:17" ht="15.5" x14ac:dyDescent="0.35">
      <c r="C116" s="24" t="s">
        <v>43</v>
      </c>
      <c r="D116" s="187" t="s">
        <v>108</v>
      </c>
      <c r="E116" s="188" t="s">
        <v>108</v>
      </c>
      <c r="F116" s="188" t="s">
        <v>108</v>
      </c>
      <c r="G116" s="188" t="s">
        <v>108</v>
      </c>
      <c r="H116" s="188" t="s">
        <v>108</v>
      </c>
      <c r="I116" s="188" t="s">
        <v>108</v>
      </c>
      <c r="J116" s="188" t="s">
        <v>108</v>
      </c>
      <c r="K116" s="188" t="s">
        <v>108</v>
      </c>
      <c r="L116" s="188" t="s">
        <v>108</v>
      </c>
      <c r="M116" s="188" t="s">
        <v>108</v>
      </c>
      <c r="N116" s="188" t="s">
        <v>108</v>
      </c>
      <c r="O116" s="188" t="s">
        <v>108</v>
      </c>
      <c r="P116" s="188" t="s">
        <v>108</v>
      </c>
      <c r="Q116" s="194" t="s">
        <v>108</v>
      </c>
    </row>
    <row r="117" spans="3:17" ht="15.5" x14ac:dyDescent="0.35">
      <c r="C117" s="24" t="s">
        <v>44</v>
      </c>
      <c r="D117" s="187" t="s">
        <v>108</v>
      </c>
      <c r="E117" s="188" t="s">
        <v>108</v>
      </c>
      <c r="F117" s="188" t="s">
        <v>108</v>
      </c>
      <c r="G117" s="188" t="s">
        <v>108</v>
      </c>
      <c r="H117" s="188" t="s">
        <v>108</v>
      </c>
      <c r="I117" s="188" t="s">
        <v>108</v>
      </c>
      <c r="J117" s="188" t="s">
        <v>108</v>
      </c>
      <c r="K117" s="188" t="s">
        <v>108</v>
      </c>
      <c r="L117" s="188" t="s">
        <v>108</v>
      </c>
      <c r="M117" s="188" t="s">
        <v>108</v>
      </c>
      <c r="N117" s="188" t="s">
        <v>108</v>
      </c>
      <c r="O117" s="188" t="s">
        <v>108</v>
      </c>
      <c r="P117" s="188" t="s">
        <v>108</v>
      </c>
      <c r="Q117" s="194" t="s">
        <v>108</v>
      </c>
    </row>
    <row r="118" spans="3:17" ht="16" thickBot="1" x14ac:dyDescent="0.4">
      <c r="C118" s="24" t="s">
        <v>42</v>
      </c>
      <c r="D118" s="42">
        <f ca="1">INDIRECT(ADDRESS(D107+27,4,4,TRUE,"Motorcycle"))</f>
        <v>9266.2996658136817</v>
      </c>
      <c r="E118" s="43">
        <f ca="1">INDIRECT(ADDRESS(D107+27,5,4,TRUE,"Motorcycle"))</f>
        <v>9512.388642388918</v>
      </c>
      <c r="F118" s="43">
        <f ca="1">INDIRECT(ADDRESS(D107+27,6,4,TRUE,"Motorcycle"))</f>
        <v>9760.5781586686153</v>
      </c>
      <c r="G118" s="43">
        <f ca="1">INDIRECT(ADDRESS($D107+27,7,4,TRUE,"Motorcycle"))</f>
        <v>10031.305922446116</v>
      </c>
      <c r="H118" s="43">
        <f ca="1">INDIRECT(ADDRESS($D107+27,8,4,TRUE,"Motorcycle"))</f>
        <v>10250.392848974141</v>
      </c>
      <c r="I118" s="43">
        <f ca="1">INDIRECT(ADDRESS(D107+27,9,4,TRUE,"Motorcycle"))</f>
        <v>10009.487103372128</v>
      </c>
      <c r="J118" s="43">
        <f ca="1">INDIRECT(ADDRESS(D107+27,10,4,TRUE,"Motorcycle"))</f>
        <v>10318.730273775269</v>
      </c>
      <c r="K118" s="43">
        <f ca="1">INDIRECT(ADDRESS(D107+27,11,4,TRUE,"Motorcycle"))</f>
        <v>10425.848277234109</v>
      </c>
      <c r="L118" s="43">
        <f ca="1">INDIRECT(ADDRESS(D107+27,12,4,TRUE,"Motorcycle"))</f>
        <v>10410.600016271721</v>
      </c>
      <c r="M118" s="43">
        <f ca="1">INDIRECT(ADDRESS(D107+27,13,4,TRUE,"Motorcycle"))</f>
        <v>10199.827341579921</v>
      </c>
      <c r="N118" s="43">
        <f ca="1">INDIRECT(ADDRESS(D107+27,14,4,TRUE,"Motorcycle"))</f>
        <v>9934.1205931899458</v>
      </c>
      <c r="O118" s="43">
        <f ca="1">INDIRECT(ADDRESS(D107+27,15,4,TRUE,"Motorcycle"))</f>
        <v>10008.45839833872</v>
      </c>
      <c r="P118" s="43">
        <f ca="1">INDIRECT(ADDRESS(D107+27,16,4,TRUE,"Motorcycle"))</f>
        <v>10057.302875655336</v>
      </c>
      <c r="Q118" s="44">
        <f ca="1">INDIRECT(ADDRESS(D107+27,17,4,TRUE,"Motorcycle"))</f>
        <v>10090.90136316287</v>
      </c>
    </row>
    <row r="119" spans="3:17" ht="16.5" thickTop="1" thickBot="1" x14ac:dyDescent="0.4">
      <c r="C119" s="31" t="s">
        <v>45</v>
      </c>
      <c r="D119" s="189">
        <f ca="1">SUM(D112:D118)</f>
        <v>176886.7316854003</v>
      </c>
      <c r="E119" s="48">
        <f t="shared" ref="E119:N119" ca="1" si="14">SUM(E112:E118)</f>
        <v>179977.32451969886</v>
      </c>
      <c r="F119" s="48">
        <f t="shared" ca="1" si="14"/>
        <v>184545.68621303994</v>
      </c>
      <c r="G119" s="48">
        <f t="shared" ca="1" si="14"/>
        <v>190455.34368961697</v>
      </c>
      <c r="H119" s="48">
        <f t="shared" ca="1" si="14"/>
        <v>196834.31508957365</v>
      </c>
      <c r="I119" s="48">
        <f t="shared" ca="1" si="14"/>
        <v>197019.729799925</v>
      </c>
      <c r="J119" s="48">
        <f t="shared" ca="1" si="14"/>
        <v>209260.94126524185</v>
      </c>
      <c r="K119" s="48">
        <f t="shared" ca="1" si="14"/>
        <v>206892.24597228272</v>
      </c>
      <c r="L119" s="48">
        <f t="shared" ca="1" si="14"/>
        <v>202747.97408386151</v>
      </c>
      <c r="M119" s="48">
        <f t="shared" ca="1" si="14"/>
        <v>195928.51669168717</v>
      </c>
      <c r="N119" s="48">
        <f t="shared" ca="1" si="14"/>
        <v>188625.49959418504</v>
      </c>
      <c r="O119" s="48">
        <f t="shared" ref="O119:Q119" ca="1" si="15">SUM(O112:O118)</f>
        <v>179162.54857588047</v>
      </c>
      <c r="P119" s="48">
        <f t="shared" ca="1" si="15"/>
        <v>169257.89924233884</v>
      </c>
      <c r="Q119" s="49">
        <f t="shared" ca="1" si="15"/>
        <v>158996.66537798152</v>
      </c>
    </row>
    <row r="120" spans="3:17" ht="13" thickTop="1" x14ac:dyDescent="0.25"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43"/>
    </row>
    <row r="121" spans="3:17" ht="13" thickBot="1" x14ac:dyDescent="0.3"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43"/>
    </row>
    <row r="122" spans="3:17" ht="16.5" thickTop="1" thickBot="1" x14ac:dyDescent="0.4">
      <c r="C122" s="180" t="str">
        <f ca="1">INDIRECT(ADDRESS(D122+27,3,4,TRUE,"Car+SUV"))</f>
        <v>Wellington</v>
      </c>
      <c r="D122" s="190">
        <v>9</v>
      </c>
      <c r="E122" s="145" t="s">
        <v>170</v>
      </c>
      <c r="F122" s="145"/>
      <c r="G122" s="145"/>
      <c r="H122" s="145"/>
      <c r="I122" s="145"/>
      <c r="J122" s="145"/>
      <c r="K122" s="145"/>
      <c r="L122" s="145"/>
      <c r="M122" s="145"/>
      <c r="N122" s="43"/>
    </row>
    <row r="123" spans="3:17" ht="13.5" thickTop="1" thickBot="1" x14ac:dyDescent="0.3"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43"/>
    </row>
    <row r="124" spans="3:17" ht="16" thickTop="1" x14ac:dyDescent="0.35">
      <c r="C124" s="32" t="s">
        <v>46</v>
      </c>
      <c r="D124" s="183"/>
      <c r="E124" s="183"/>
      <c r="F124" s="183"/>
      <c r="G124" s="183"/>
      <c r="H124" s="183"/>
      <c r="I124" s="183"/>
      <c r="J124" s="40"/>
      <c r="K124" s="40"/>
      <c r="L124" s="40"/>
      <c r="M124" s="40"/>
      <c r="N124" s="40"/>
      <c r="O124" s="34"/>
      <c r="P124" s="34"/>
      <c r="Q124" s="35"/>
    </row>
    <row r="125" spans="3:17" ht="13.5" thickBot="1" x14ac:dyDescent="0.35">
      <c r="C125" s="36"/>
      <c r="D125" s="184" t="s">
        <v>25</v>
      </c>
      <c r="E125" s="184" t="s">
        <v>37</v>
      </c>
      <c r="F125" s="184" t="s">
        <v>38</v>
      </c>
      <c r="G125" s="37" t="s">
        <v>177</v>
      </c>
      <c r="H125" s="37" t="s">
        <v>178</v>
      </c>
      <c r="I125" s="184" t="s">
        <v>26</v>
      </c>
      <c r="J125" s="184" t="s">
        <v>27</v>
      </c>
      <c r="K125" s="184" t="s">
        <v>28</v>
      </c>
      <c r="L125" s="184" t="s">
        <v>29</v>
      </c>
      <c r="M125" s="184" t="s">
        <v>30</v>
      </c>
      <c r="N125" s="184" t="s">
        <v>31</v>
      </c>
      <c r="O125" s="37" t="s">
        <v>174</v>
      </c>
      <c r="P125" s="37" t="s">
        <v>175</v>
      </c>
      <c r="Q125" s="38" t="s">
        <v>176</v>
      </c>
    </row>
    <row r="126" spans="3:17" ht="14" thickTop="1" thickBot="1" x14ac:dyDescent="0.35">
      <c r="C126" s="70"/>
      <c r="D126" s="185" t="s">
        <v>39</v>
      </c>
      <c r="E126" s="186" t="s">
        <v>39</v>
      </c>
      <c r="F126" s="186" t="s">
        <v>39</v>
      </c>
      <c r="G126" s="65" t="s">
        <v>39</v>
      </c>
      <c r="H126" s="65" t="s">
        <v>39</v>
      </c>
      <c r="I126" s="186" t="s">
        <v>39</v>
      </c>
      <c r="J126" s="186" t="s">
        <v>32</v>
      </c>
      <c r="K126" s="186" t="s">
        <v>32</v>
      </c>
      <c r="L126" s="186" t="s">
        <v>32</v>
      </c>
      <c r="M126" s="186" t="s">
        <v>32</v>
      </c>
      <c r="N126" s="186" t="s">
        <v>32</v>
      </c>
      <c r="O126" s="65" t="s">
        <v>32</v>
      </c>
      <c r="P126" s="65" t="s">
        <v>32</v>
      </c>
      <c r="Q126" s="66" t="s">
        <v>32</v>
      </c>
    </row>
    <row r="127" spans="3:17" ht="16" thickTop="1" x14ac:dyDescent="0.35">
      <c r="C127" s="24" t="s">
        <v>113</v>
      </c>
      <c r="D127" s="42">
        <f ca="1">INDIRECT(ADDRESS(D122+27,4,4,TRUE,"Car+SUV"))-D129</f>
        <v>268634.87683079089</v>
      </c>
      <c r="E127" s="40">
        <f ca="1">INDIRECT(ADDRESS(D122+27,5,4,TRUE,"Car+SUV"))-E129</f>
        <v>273050.37300221738</v>
      </c>
      <c r="F127" s="40">
        <f ca="1">INDIRECT(ADDRESS(D122+27,6,4,TRUE,"Car+SUV"))-F129</f>
        <v>278980.44661427988</v>
      </c>
      <c r="G127" s="40">
        <f ca="1">INDIRECT(ADDRESS($D122+27,7,4,TRUE,"Car+SUV"))-G129</f>
        <v>286550.20421613945</v>
      </c>
      <c r="H127" s="40">
        <f ca="1">INDIRECT(ADDRESS($D122+27,8,4,TRUE,"Car+SUV"))-H129</f>
        <v>295423.31974232965</v>
      </c>
      <c r="I127" s="40">
        <f ca="1">INDIRECT(ADDRESS(D122+27,9,4,TRUE,"Car+SUV"))-I129</f>
        <v>299774.38731331693</v>
      </c>
      <c r="J127" s="40">
        <f ca="1">INDIRECT(ADDRESS(D122+27,10,4,TRUE,"Car+SUV"))-J129</f>
        <v>325501.40619857446</v>
      </c>
      <c r="K127" s="40">
        <f ca="1">INDIRECT(ADDRESS(D122+27,11,4,TRUE,"Car+SUV"))-K129</f>
        <v>316324.48494767485</v>
      </c>
      <c r="L127" s="40">
        <f ca="1">INDIRECT(ADDRESS(D122+27,12,4,TRUE,"Car+SUV"))-L129</f>
        <v>301343.05723894405</v>
      </c>
      <c r="M127" s="40">
        <f ca="1">INDIRECT(ADDRESS(D122+27,13,4,TRUE,"Car+SUV"))-M129</f>
        <v>282642.18595545948</v>
      </c>
      <c r="N127" s="40">
        <f ca="1">INDIRECT(ADDRESS(D122+27,14,4,TRUE,"Car+SUV"))-N129</f>
        <v>261826.99000611037</v>
      </c>
      <c r="O127" s="40">
        <f ca="1">INDIRECT(ADDRESS(D122+27,15,4,TRUE,"Car+SUV"))-O129</f>
        <v>235619.96282240824</v>
      </c>
      <c r="P127" s="40">
        <f ca="1">INDIRECT(ADDRESS(D122+27,16,4,TRUE,"Car+SUV"))-P129</f>
        <v>207529.61583295927</v>
      </c>
      <c r="Q127" s="41">
        <f ca="1">INDIRECT(ADDRESS(D122+27,17,4,TRUE,"Car+SUV"))-Q129</f>
        <v>177726.35110909483</v>
      </c>
    </row>
    <row r="128" spans="3:17" ht="15.5" x14ac:dyDescent="0.35">
      <c r="C128" s="24" t="s">
        <v>114</v>
      </c>
      <c r="D128" s="42">
        <f ca="1">INDIRECT(ADDRESS(D122+27,4,4,TRUE,"Van+Ute"))-D130</f>
        <v>32411.975857539139</v>
      </c>
      <c r="E128" s="43">
        <f ca="1">INDIRECT(ADDRESS(D122+27,5,4,TRUE,"Van+Ute"))-E130</f>
        <v>33873.670674965695</v>
      </c>
      <c r="F128" s="43">
        <f ca="1">INDIRECT(ADDRESS(D122+27,6,4,TRUE,"Van+Ute"))-F130</f>
        <v>35293.504027070041</v>
      </c>
      <c r="G128" s="43">
        <f ca="1">INDIRECT(ADDRESS($D122+27,7,4,TRUE,"Van+Ute"))-G130</f>
        <v>37223.208034302574</v>
      </c>
      <c r="H128" s="43">
        <f ca="1">INDIRECT(ADDRESS($D122+27,8,4,TRUE,"Van+Ute"))-H130</f>
        <v>40207.151171683276</v>
      </c>
      <c r="I128" s="43">
        <f ca="1">INDIRECT(ADDRESS(D122+27,9,4,TRUE,"Van+Ute"))-I130</f>
        <v>42955.825454609032</v>
      </c>
      <c r="J128" s="43">
        <f ca="1">INDIRECT(ADDRESS(D122+27,10,4,TRUE,"Van+Ute"))-J130</f>
        <v>47621.639482288461</v>
      </c>
      <c r="K128" s="43">
        <f ca="1">INDIRECT(ADDRESS(D122+27,11,4,TRUE,"Van+Ute"))-K130</f>
        <v>48938.633768637432</v>
      </c>
      <c r="L128" s="43">
        <f ca="1">INDIRECT(ADDRESS(D122+27,12,4,TRUE,"Van+Ute"))-L130</f>
        <v>49752.864737151438</v>
      </c>
      <c r="M128" s="43">
        <f ca="1">INDIRECT(ADDRESS(D122+27,13,4,TRUE,"Van+Ute"))-M130</f>
        <v>50387.377612282209</v>
      </c>
      <c r="N128" s="43">
        <f ca="1">INDIRECT(ADDRESS(D122+27,14,4,TRUE,"Van+Ute"))-N130</f>
        <v>51072.195189182617</v>
      </c>
      <c r="O128" s="43">
        <f ca="1">INDIRECT(ADDRESS(D122+27,15,4,TRUE,"Van+Ute"))-O130</f>
        <v>51452.91392104375</v>
      </c>
      <c r="P128" s="43">
        <f ca="1">INDIRECT(ADDRESS(D122+27,16,4,TRUE,"Van+Ute"))-P130</f>
        <v>51681.188996504839</v>
      </c>
      <c r="Q128" s="44">
        <f ca="1">INDIRECT(ADDRESS(D122+27,17,4,TRUE,"Van+Ute"))-Q130</f>
        <v>51663.214082861639</v>
      </c>
    </row>
    <row r="129" spans="3:17" ht="15.5" x14ac:dyDescent="0.35">
      <c r="C129" s="24" t="s">
        <v>115</v>
      </c>
      <c r="D129" s="42">
        <f ca="1">INDIRECT(ADDRESS(D122+150,4,4,TRUE,"Car+SUV"))</f>
        <v>1306.3344002048393</v>
      </c>
      <c r="E129" s="43">
        <f ca="1">INDIRECT(ADDRESS(D122+150,5,4,TRUE,"Car+SUV"))</f>
        <v>1327.3344254032259</v>
      </c>
      <c r="F129" s="43">
        <f ca="1">INDIRECT(ADDRESS(D122+150,6,4,TRUE,"Car+SUV"))</f>
        <v>1370.3228086710651</v>
      </c>
      <c r="G129" s="43">
        <f ca="1">INDIRECT(ADDRESS($D122+150,7,4,TRUE,"Car+SUV"))</f>
        <v>1575.3194402190445</v>
      </c>
      <c r="H129" s="43">
        <f ca="1">INDIRECT(ADDRESS($D122+150,8,4,TRUE,"Car+SUV"))</f>
        <v>1555.3005411673753</v>
      </c>
      <c r="I129" s="43">
        <f ca="1">INDIRECT(ADDRESS(D122+150,9,4,TRUE,"Car+SUV"))</f>
        <v>2543.3144358578052</v>
      </c>
      <c r="J129" s="43">
        <f ca="1">INDIRECT(ADDRESS(D122+150,10,4,TRUE,"Car+SUV"))</f>
        <v>2998.8834925784931</v>
      </c>
      <c r="K129" s="43">
        <f ca="1">INDIRECT(ADDRESS(D122+150,11,4,TRUE,"Car+SUV"))</f>
        <v>13122.856482925394</v>
      </c>
      <c r="L129" s="43">
        <f ca="1">INDIRECT(ADDRESS(D122+150,12,4,TRUE,"Car+SUV"))</f>
        <v>24035.480383699127</v>
      </c>
      <c r="M129" s="43">
        <f ca="1">INDIRECT(ADDRESS(D122+150,13,4,TRUE,"Car+SUV"))</f>
        <v>35417.26164105811</v>
      </c>
      <c r="N129" s="43">
        <f ca="1">INDIRECT(ADDRESS(D122+150,14,4,TRUE,"Car+SUV"))</f>
        <v>47220.745027450474</v>
      </c>
      <c r="O129" s="43">
        <f ca="1">INDIRECT(ADDRESS(D122+150,15,4,TRUE,"Car+SUV"))</f>
        <v>59411.51550169017</v>
      </c>
      <c r="P129" s="43">
        <f ca="1">INDIRECT(ADDRESS(D122+150,16,4,TRUE,"Car+SUV"))</f>
        <v>71918.428169081599</v>
      </c>
      <c r="Q129" s="44">
        <f ca="1">INDIRECT(ADDRESS(D122+150,17,4,TRUE,"Car+SUV"))</f>
        <v>84730.199037439277</v>
      </c>
    </row>
    <row r="130" spans="3:17" ht="15.5" x14ac:dyDescent="0.35">
      <c r="C130" s="24" t="s">
        <v>116</v>
      </c>
      <c r="D130" s="42">
        <f ca="1">INDIRECT(ADDRESS(D122+150,4,4,TRUE,"Van+Ute"))</f>
        <v>144</v>
      </c>
      <c r="E130" s="43">
        <f ca="1">INDIRECT(ADDRESS(D122+150,5,4,TRUE,"Van+Ute"))</f>
        <v>142</v>
      </c>
      <c r="F130" s="43">
        <f ca="1">INDIRECT(ADDRESS(D122+150,6,4,TRUE,"Van+Ute"))</f>
        <v>146</v>
      </c>
      <c r="G130" s="43">
        <f ca="1">INDIRECT(ADDRESS($D122+150,7,4,TRUE,"Van+Ute"))</f>
        <v>147</v>
      </c>
      <c r="H130" s="43">
        <f ca="1">INDIRECT(ADDRESS($D122+150,8,4,TRUE,"Van+Ute"))</f>
        <v>149</v>
      </c>
      <c r="I130" s="43">
        <f ca="1">INDIRECT(ADDRESS(D122+150,9,4,TRUE,"Van+Ute"))</f>
        <v>190</v>
      </c>
      <c r="J130" s="43">
        <f ca="1">INDIRECT(ADDRESS(D122+150,10,4,TRUE,"Van+Ute"))</f>
        <v>224.03359001016975</v>
      </c>
      <c r="K130" s="43">
        <f ca="1">INDIRECT(ADDRESS(D122+150,11,4,TRUE,"Van+Ute"))</f>
        <v>1193.1010311799298</v>
      </c>
      <c r="L130" s="43">
        <f ca="1">INDIRECT(ADDRESS(D122+150,12,4,TRUE,"Van+Ute"))</f>
        <v>2238.544601481402</v>
      </c>
      <c r="M130" s="43">
        <f ca="1">INDIRECT(ADDRESS(D122+150,13,4,TRUE,"Van+Ute"))</f>
        <v>3329.1646026900685</v>
      </c>
      <c r="N130" s="43">
        <f ca="1">INDIRECT(ADDRESS(D122+150,14,4,TRUE,"Van+Ute"))</f>
        <v>4459.5993391834163</v>
      </c>
      <c r="O130" s="43">
        <f ca="1">INDIRECT(ADDRESS(D122+150,15,4,TRUE,"Van+Ute"))</f>
        <v>5627.9499536602798</v>
      </c>
      <c r="P130" s="43">
        <f ca="1">INDIRECT(ADDRESS(D122+150,16,4,TRUE,"Van+Ute"))</f>
        <v>6825.8847877208491</v>
      </c>
      <c r="Q130" s="44">
        <f ca="1">INDIRECT(ADDRESS(D122+150,17,4,TRUE,"Van+Ute"))</f>
        <v>8052.1882412466766</v>
      </c>
    </row>
    <row r="131" spans="3:17" ht="15.5" x14ac:dyDescent="0.35">
      <c r="C131" s="24" t="s">
        <v>43</v>
      </c>
      <c r="D131" s="187" t="s">
        <v>108</v>
      </c>
      <c r="E131" s="188" t="s">
        <v>108</v>
      </c>
      <c r="F131" s="188" t="s">
        <v>108</v>
      </c>
      <c r="G131" s="188" t="s">
        <v>108</v>
      </c>
      <c r="H131" s="188" t="s">
        <v>108</v>
      </c>
      <c r="I131" s="188" t="s">
        <v>108</v>
      </c>
      <c r="J131" s="188" t="s">
        <v>108</v>
      </c>
      <c r="K131" s="188" t="s">
        <v>108</v>
      </c>
      <c r="L131" s="188" t="s">
        <v>108</v>
      </c>
      <c r="M131" s="188" t="s">
        <v>108</v>
      </c>
      <c r="N131" s="188" t="s">
        <v>108</v>
      </c>
      <c r="O131" s="188" t="s">
        <v>108</v>
      </c>
      <c r="P131" s="188" t="s">
        <v>108</v>
      </c>
      <c r="Q131" s="194" t="s">
        <v>108</v>
      </c>
    </row>
    <row r="132" spans="3:17" ht="15.5" x14ac:dyDescent="0.35">
      <c r="C132" s="24" t="s">
        <v>44</v>
      </c>
      <c r="D132" s="187" t="s">
        <v>108</v>
      </c>
      <c r="E132" s="188" t="s">
        <v>108</v>
      </c>
      <c r="F132" s="188" t="s">
        <v>108</v>
      </c>
      <c r="G132" s="188" t="s">
        <v>108</v>
      </c>
      <c r="H132" s="188" t="s">
        <v>108</v>
      </c>
      <c r="I132" s="188" t="s">
        <v>108</v>
      </c>
      <c r="J132" s="188" t="s">
        <v>108</v>
      </c>
      <c r="K132" s="188" t="s">
        <v>108</v>
      </c>
      <c r="L132" s="188" t="s">
        <v>108</v>
      </c>
      <c r="M132" s="188" t="s">
        <v>108</v>
      </c>
      <c r="N132" s="188" t="s">
        <v>108</v>
      </c>
      <c r="O132" s="188" t="s">
        <v>108</v>
      </c>
      <c r="P132" s="188" t="s">
        <v>108</v>
      </c>
      <c r="Q132" s="194" t="s">
        <v>108</v>
      </c>
    </row>
    <row r="133" spans="3:17" ht="16" thickBot="1" x14ac:dyDescent="0.4">
      <c r="C133" s="24" t="s">
        <v>42</v>
      </c>
      <c r="D133" s="42">
        <f ca="1">INDIRECT(ADDRESS(D122+27,4,4,TRUE,"Motorcycle"))</f>
        <v>16266.112521475639</v>
      </c>
      <c r="E133" s="43">
        <f ca="1">INDIRECT(ADDRESS(D122+27,5,4,TRUE,"Motorcycle"))</f>
        <v>16607.088020101477</v>
      </c>
      <c r="F133" s="43">
        <f ca="1">INDIRECT(ADDRESS(D122+27,6,4,TRUE,"Motorcycle"))</f>
        <v>17268.169724199815</v>
      </c>
      <c r="G133" s="43">
        <f ca="1">INDIRECT(ADDRESS($D122+27,7,4,TRUE,"Motorcycle"))</f>
        <v>17922.451362851778</v>
      </c>
      <c r="H133" s="43">
        <f ca="1">INDIRECT(ADDRESS($D122+27,8,4,TRUE,"Motorcycle"))</f>
        <v>18554.586534954593</v>
      </c>
      <c r="I133" s="43">
        <f ca="1">INDIRECT(ADDRESS(D122+27,9,4,TRUE,"Motorcycle"))</f>
        <v>19304.679240501744</v>
      </c>
      <c r="J133" s="43">
        <f ca="1">INDIRECT(ADDRESS(D122+27,10,4,TRUE,"Motorcycle"))</f>
        <v>20390.537608703227</v>
      </c>
      <c r="K133" s="43">
        <f ca="1">INDIRECT(ADDRESS(D122+27,11,4,TRUE,"Motorcycle"))</f>
        <v>21037.595184696867</v>
      </c>
      <c r="L133" s="43">
        <f ca="1">INDIRECT(ADDRESS(D122+27,12,4,TRUE,"Motorcycle"))</f>
        <v>21452.437226875234</v>
      </c>
      <c r="M133" s="43">
        <f ca="1">INDIRECT(ADDRESS(D122+27,13,4,TRUE,"Motorcycle"))</f>
        <v>21459.87888929843</v>
      </c>
      <c r="N133" s="43">
        <f ca="1">INDIRECT(ADDRESS(D122+27,14,4,TRUE,"Motorcycle"))</f>
        <v>21344.681538869951</v>
      </c>
      <c r="O133" s="43">
        <f ca="1">INDIRECT(ADDRESS(D122+27,15,4,TRUE,"Motorcycle"))</f>
        <v>21954.267262836747</v>
      </c>
      <c r="P133" s="43">
        <f ca="1">INDIRECT(ADDRESS(D122+27,16,4,TRUE,"Motorcycle"))</f>
        <v>22515.660897633461</v>
      </c>
      <c r="Q133" s="44">
        <f ca="1">INDIRECT(ADDRESS(D122+27,17,4,TRUE,"Motorcycle"))</f>
        <v>23048.283181980165</v>
      </c>
    </row>
    <row r="134" spans="3:17" ht="16.5" thickTop="1" thickBot="1" x14ac:dyDescent="0.4">
      <c r="C134" s="31" t="s">
        <v>45</v>
      </c>
      <c r="D134" s="189">
        <f ca="1">SUM(D127:D133)</f>
        <v>318763.29961001052</v>
      </c>
      <c r="E134" s="48">
        <f t="shared" ref="E134:N134" ca="1" si="16">SUM(E127:E133)</f>
        <v>325000.46612268779</v>
      </c>
      <c r="F134" s="48">
        <f t="shared" ca="1" si="16"/>
        <v>333058.44317422074</v>
      </c>
      <c r="G134" s="48">
        <f t="shared" ca="1" si="16"/>
        <v>343418.18305351282</v>
      </c>
      <c r="H134" s="48">
        <f t="shared" ca="1" si="16"/>
        <v>355889.35799013491</v>
      </c>
      <c r="I134" s="48">
        <f t="shared" ca="1" si="16"/>
        <v>364768.20644428546</v>
      </c>
      <c r="J134" s="48">
        <f t="shared" ca="1" si="16"/>
        <v>396736.50037215487</v>
      </c>
      <c r="K134" s="48">
        <f t="shared" ca="1" si="16"/>
        <v>400616.67141511454</v>
      </c>
      <c r="L134" s="48">
        <f t="shared" ca="1" si="16"/>
        <v>398822.38418815122</v>
      </c>
      <c r="M134" s="48">
        <f t="shared" ca="1" si="16"/>
        <v>393235.8687007883</v>
      </c>
      <c r="N134" s="48">
        <f t="shared" ca="1" si="16"/>
        <v>385924.21110079688</v>
      </c>
      <c r="O134" s="48">
        <f t="shared" ref="O134:Q134" ca="1" si="17">SUM(O127:O133)</f>
        <v>374066.60946163913</v>
      </c>
      <c r="P134" s="48">
        <f t="shared" ca="1" si="17"/>
        <v>360470.77868390008</v>
      </c>
      <c r="Q134" s="49">
        <f t="shared" ca="1" si="17"/>
        <v>345220.23565262265</v>
      </c>
    </row>
    <row r="135" spans="3:17" ht="13" thickTop="1" x14ac:dyDescent="0.25"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43"/>
    </row>
    <row r="136" spans="3:17" ht="13" thickBot="1" x14ac:dyDescent="0.3"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43"/>
    </row>
    <row r="137" spans="3:17" ht="16.5" thickTop="1" thickBot="1" x14ac:dyDescent="0.4">
      <c r="C137" s="180" t="str">
        <f ca="1">INDIRECT(ADDRESS(D137+27,3,4,TRUE,"Car+SUV"))</f>
        <v>TNM</v>
      </c>
      <c r="D137" s="190">
        <v>10</v>
      </c>
      <c r="E137" s="145" t="s">
        <v>170</v>
      </c>
      <c r="F137" s="145"/>
      <c r="G137" s="145"/>
      <c r="H137" s="145"/>
      <c r="I137" s="145"/>
      <c r="J137" s="145"/>
      <c r="K137" s="145"/>
      <c r="L137" s="145"/>
      <c r="M137" s="145"/>
      <c r="N137" s="43"/>
    </row>
    <row r="138" spans="3:17" ht="13.5" thickTop="1" thickBot="1" x14ac:dyDescent="0.3"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43"/>
    </row>
    <row r="139" spans="3:17" ht="16" thickTop="1" x14ac:dyDescent="0.35">
      <c r="C139" s="32" t="s">
        <v>46</v>
      </c>
      <c r="D139" s="183"/>
      <c r="E139" s="183"/>
      <c r="F139" s="183"/>
      <c r="G139" s="183"/>
      <c r="H139" s="183"/>
      <c r="I139" s="183"/>
      <c r="J139" s="40"/>
      <c r="K139" s="40"/>
      <c r="L139" s="40"/>
      <c r="M139" s="40"/>
      <c r="N139" s="40"/>
      <c r="O139" s="34"/>
      <c r="P139" s="34"/>
      <c r="Q139" s="35"/>
    </row>
    <row r="140" spans="3:17" ht="13.5" thickBot="1" x14ac:dyDescent="0.35">
      <c r="C140" s="36"/>
      <c r="D140" s="184" t="s">
        <v>25</v>
      </c>
      <c r="E140" s="184" t="s">
        <v>37</v>
      </c>
      <c r="F140" s="184" t="s">
        <v>38</v>
      </c>
      <c r="G140" s="37" t="s">
        <v>177</v>
      </c>
      <c r="H140" s="37" t="s">
        <v>178</v>
      </c>
      <c r="I140" s="184" t="s">
        <v>26</v>
      </c>
      <c r="J140" s="184" t="s">
        <v>27</v>
      </c>
      <c r="K140" s="184" t="s">
        <v>28</v>
      </c>
      <c r="L140" s="184" t="s">
        <v>29</v>
      </c>
      <c r="M140" s="184" t="s">
        <v>30</v>
      </c>
      <c r="N140" s="184" t="s">
        <v>31</v>
      </c>
      <c r="O140" s="37" t="s">
        <v>174</v>
      </c>
      <c r="P140" s="37" t="s">
        <v>175</v>
      </c>
      <c r="Q140" s="38" t="s">
        <v>176</v>
      </c>
    </row>
    <row r="141" spans="3:17" ht="14" thickTop="1" thickBot="1" x14ac:dyDescent="0.35">
      <c r="C141" s="70"/>
      <c r="D141" s="185" t="s">
        <v>39</v>
      </c>
      <c r="E141" s="186" t="s">
        <v>39</v>
      </c>
      <c r="F141" s="186" t="s">
        <v>39</v>
      </c>
      <c r="G141" s="65" t="s">
        <v>39</v>
      </c>
      <c r="H141" s="65" t="s">
        <v>39</v>
      </c>
      <c r="I141" s="186" t="s">
        <v>39</v>
      </c>
      <c r="J141" s="186" t="s">
        <v>32</v>
      </c>
      <c r="K141" s="186" t="s">
        <v>32</v>
      </c>
      <c r="L141" s="186" t="s">
        <v>32</v>
      </c>
      <c r="M141" s="186" t="s">
        <v>32</v>
      </c>
      <c r="N141" s="186" t="s">
        <v>32</v>
      </c>
      <c r="O141" s="65" t="s">
        <v>32</v>
      </c>
      <c r="P141" s="65" t="s">
        <v>32</v>
      </c>
      <c r="Q141" s="66" t="s">
        <v>32</v>
      </c>
    </row>
    <row r="142" spans="3:17" ht="16" thickTop="1" x14ac:dyDescent="0.35">
      <c r="C142" s="24" t="s">
        <v>113</v>
      </c>
      <c r="D142" s="42">
        <f ca="1">INDIRECT(ADDRESS(D137+27,4,4,TRUE,"Car+SUV"))-D144</f>
        <v>98125.000345462846</v>
      </c>
      <c r="E142" s="40">
        <f ca="1">INDIRECT(ADDRESS(D137+27,5,4,TRUE,"Car+SUV"))-E144</f>
        <v>100758.40293814942</v>
      </c>
      <c r="F142" s="40">
        <f ca="1">INDIRECT(ADDRESS(D137+27,6,4,TRUE,"Car+SUV"))-F144</f>
        <v>104193.67623756194</v>
      </c>
      <c r="G142" s="40">
        <f ca="1">INDIRECT(ADDRESS($D137+27,7,4,TRUE,"Car+SUV"))-G144</f>
        <v>111251.13989472011</v>
      </c>
      <c r="H142" s="40">
        <f ca="1">INDIRECT(ADDRESS($D137+27,8,4,TRUE,"Car+SUV"))-H144</f>
        <v>118163.56226152487</v>
      </c>
      <c r="I142" s="40">
        <f ca="1">INDIRECT(ADDRESS(D137+27,9,4,TRUE,"Car+SUV"))-I144</f>
        <v>122945.96329234721</v>
      </c>
      <c r="J142" s="40">
        <f ca="1">INDIRECT(ADDRESS(D137+27,10,4,TRUE,"Car+SUV"))-J144</f>
        <v>130743.57359804976</v>
      </c>
      <c r="K142" s="40">
        <f ca="1">INDIRECT(ADDRESS(D137+27,11,4,TRUE,"Car+SUV"))-K144</f>
        <v>125174.83672430101</v>
      </c>
      <c r="L142" s="40">
        <f ca="1">INDIRECT(ADDRESS(D137+27,12,4,TRUE,"Car+SUV"))-L144</f>
        <v>117439.90244312373</v>
      </c>
      <c r="M142" s="40">
        <f ca="1">INDIRECT(ADDRESS(D137+27,13,4,TRUE,"Car+SUV"))-M144</f>
        <v>107825.975184355</v>
      </c>
      <c r="N142" s="40">
        <f ca="1">INDIRECT(ADDRESS(D137+27,14,4,TRUE,"Car+SUV"))-N144</f>
        <v>98003.985553986058</v>
      </c>
      <c r="O142" s="40">
        <f ca="1">INDIRECT(ADDRESS(D137+27,15,4,TRUE,"Car+SUV"))-O144</f>
        <v>86924.217990410529</v>
      </c>
      <c r="P142" s="40">
        <f ca="1">INDIRECT(ADDRESS(D137+27,16,4,TRUE,"Car+SUV"))-P144</f>
        <v>75645.502343332599</v>
      </c>
      <c r="Q142" s="41">
        <f ca="1">INDIRECT(ADDRESS(D137+27,17,4,TRUE,"Car+SUV"))-Q144</f>
        <v>64245.793924543614</v>
      </c>
    </row>
    <row r="143" spans="3:17" ht="15.5" x14ac:dyDescent="0.35">
      <c r="C143" s="24" t="s">
        <v>114</v>
      </c>
      <c r="D143" s="42">
        <f ca="1">INDIRECT(ADDRESS(D137+27,4,4,TRUE,"Van+Ute"))-D145</f>
        <v>22658.292583474093</v>
      </c>
      <c r="E143" s="43">
        <f ca="1">INDIRECT(ADDRESS(D137+27,5,4,TRUE,"Van+Ute"))-E145</f>
        <v>23475.753806636047</v>
      </c>
      <c r="F143" s="43">
        <f ca="1">INDIRECT(ADDRESS(D137+27,6,4,TRUE,"Van+Ute"))-F145</f>
        <v>24585.775298321823</v>
      </c>
      <c r="G143" s="43">
        <f ca="1">INDIRECT(ADDRESS($D137+27,7,4,TRUE,"Van+Ute"))-G145</f>
        <v>25989.820965127859</v>
      </c>
      <c r="H143" s="43">
        <f ca="1">INDIRECT(ADDRESS($D137+27,8,4,TRUE,"Van+Ute"))-H145</f>
        <v>27626.23499602059</v>
      </c>
      <c r="I143" s="43">
        <f ca="1">INDIRECT(ADDRESS(D137+27,9,4,TRUE,"Van+Ute"))-I145</f>
        <v>29203.813918903121</v>
      </c>
      <c r="J143" s="43">
        <f ca="1">INDIRECT(ADDRESS(D137+27,10,4,TRUE,"Van+Ute"))-J145</f>
        <v>31492.128103804411</v>
      </c>
      <c r="K143" s="43">
        <f ca="1">INDIRECT(ADDRESS(D137+27,11,4,TRUE,"Van+Ute"))-K145</f>
        <v>31364.027957227518</v>
      </c>
      <c r="L143" s="43">
        <f ca="1">INDIRECT(ADDRESS(D137+27,12,4,TRUE,"Van+Ute"))-L145</f>
        <v>30830.242792382538</v>
      </c>
      <c r="M143" s="43">
        <f ca="1">INDIRECT(ADDRESS(D137+27,13,4,TRUE,"Van+Ute"))-M145</f>
        <v>29997.896944969612</v>
      </c>
      <c r="N143" s="43">
        <f ca="1">INDIRECT(ADDRESS(D137+27,14,4,TRUE,"Van+Ute"))-N145</f>
        <v>29177.307650135743</v>
      </c>
      <c r="O143" s="43">
        <f ca="1">INDIRECT(ADDRESS(D137+27,15,4,TRUE,"Van+Ute"))-O145</f>
        <v>28169.943757797584</v>
      </c>
      <c r="P143" s="43">
        <f ca="1">INDIRECT(ADDRESS(D137+27,16,4,TRUE,"Van+Ute"))-P145</f>
        <v>27084.369474951109</v>
      </c>
      <c r="Q143" s="44">
        <f ca="1">INDIRECT(ADDRESS(D137+27,17,4,TRUE,"Van+Ute"))-Q145</f>
        <v>25889.517917444235</v>
      </c>
    </row>
    <row r="144" spans="3:17" ht="15.5" x14ac:dyDescent="0.35">
      <c r="C144" s="24" t="s">
        <v>115</v>
      </c>
      <c r="D144" s="42">
        <f ca="1">INDIRECT(ADDRESS(D137+150,4,4,TRUE,"Car+SUV"))</f>
        <v>166.04250416079887</v>
      </c>
      <c r="E144" s="43">
        <f ca="1">INDIRECT(ADDRESS(D137+150,5,4,TRUE,"Car+SUV"))</f>
        <v>146.03679435483872</v>
      </c>
      <c r="F144" s="43">
        <f ca="1">INDIRECT(ADDRESS(D137+150,6,4,TRUE,"Car+SUV"))</f>
        <v>150.03534401508011</v>
      </c>
      <c r="G144" s="43">
        <f ca="1">INDIRECT(ADDRESS($D137+150,7,4,TRUE,"Car+SUV"))</f>
        <v>154.03123415475102</v>
      </c>
      <c r="H144" s="43">
        <f ca="1">INDIRECT(ADDRESS($D137+150,8,4,TRUE,"Car+SUV"))</f>
        <v>183.03536915345958</v>
      </c>
      <c r="I144" s="43">
        <f ca="1">INDIRECT(ADDRESS(D137+150,9,4,TRUE,"Car+SUV"))</f>
        <v>213.02633693972177</v>
      </c>
      <c r="J144" s="43">
        <f ca="1">INDIRECT(ADDRESS(D137+150,10,4,TRUE,"Car+SUV"))</f>
        <v>246.57225040439411</v>
      </c>
      <c r="K144" s="43">
        <f ca="1">INDIRECT(ADDRESS(D137+150,11,4,TRUE,"Car+SUV"))</f>
        <v>4413.1545932078916</v>
      </c>
      <c r="L144" s="43">
        <f ca="1">INDIRECT(ADDRESS(D137+150,12,4,TRUE,"Car+SUV"))</f>
        <v>8751.8547174882078</v>
      </c>
      <c r="M144" s="43">
        <f ca="1">INDIRECT(ADDRESS(D137+150,13,4,TRUE,"Car+SUV"))</f>
        <v>13106.88127892269</v>
      </c>
      <c r="N144" s="43">
        <f ca="1">INDIRECT(ADDRESS(D137+150,14,4,TRUE,"Car+SUV"))</f>
        <v>17417.882272367253</v>
      </c>
      <c r="O144" s="43">
        <f ca="1">INDIRECT(ADDRESS(D137+150,15,4,TRUE,"Car+SUV"))</f>
        <v>21690.727895888864</v>
      </c>
      <c r="P144" s="43">
        <f ca="1">INDIRECT(ADDRESS(D137+150,16,4,TRUE,"Car+SUV"))</f>
        <v>25878.99826585727</v>
      </c>
      <c r="Q144" s="44">
        <f ca="1">INDIRECT(ADDRESS(D137+150,17,4,TRUE,"Car+SUV"))</f>
        <v>29974.973815547517</v>
      </c>
    </row>
    <row r="145" spans="3:17" ht="15.5" x14ac:dyDescent="0.35">
      <c r="C145" s="24" t="s">
        <v>116</v>
      </c>
      <c r="D145" s="42">
        <f ca="1">INDIRECT(ADDRESS(D137+150,4,4,TRUE,"Van+Ute"))</f>
        <v>94</v>
      </c>
      <c r="E145" s="43">
        <f ca="1">INDIRECT(ADDRESS(D137+150,5,4,TRUE,"Van+Ute"))</f>
        <v>97</v>
      </c>
      <c r="F145" s="43">
        <f ca="1">INDIRECT(ADDRESS(D137+150,6,4,TRUE,"Van+Ute"))</f>
        <v>105</v>
      </c>
      <c r="G145" s="43">
        <f ca="1">INDIRECT(ADDRESS($D137+150,7,4,TRUE,"Van+Ute"))</f>
        <v>112</v>
      </c>
      <c r="H145" s="43">
        <f ca="1">INDIRECT(ADDRESS($D137+150,8,4,TRUE,"Van+Ute"))</f>
        <v>124</v>
      </c>
      <c r="I145" s="43">
        <f ca="1">INDIRECT(ADDRESS(D137+150,9,4,TRUE,"Van+Ute"))</f>
        <v>133</v>
      </c>
      <c r="J145" s="43">
        <f ca="1">INDIRECT(ADDRESS(D137+150,10,4,TRUE,"Van+Ute"))</f>
        <v>153.94391968099177</v>
      </c>
      <c r="K145" s="43">
        <f ca="1">INDIRECT(ADDRESS(D137+150,11,4,TRUE,"Van+Ute"))</f>
        <v>1105.4988544800428</v>
      </c>
      <c r="L145" s="43">
        <f ca="1">INDIRECT(ADDRESS(D137+150,12,4,TRUE,"Van+Ute"))</f>
        <v>2095.3420245477519</v>
      </c>
      <c r="M145" s="43">
        <f ca="1">INDIRECT(ADDRESS(D137+150,13,4,TRUE,"Van+Ute"))</f>
        <v>3088.8791517550953</v>
      </c>
      <c r="N145" s="43">
        <f ca="1">INDIRECT(ADDRESS(D137+150,14,4,TRUE,"Van+Ute"))</f>
        <v>4073.5116585592395</v>
      </c>
      <c r="O145" s="43">
        <f ca="1">INDIRECT(ADDRESS(D137+150,15,4,TRUE,"Van+Ute"))</f>
        <v>5048.841454527078</v>
      </c>
      <c r="P145" s="43">
        <f ca="1">INDIRECT(ADDRESS(D137+150,16,4,TRUE,"Van+Ute"))</f>
        <v>6006.4038565767432</v>
      </c>
      <c r="Q145" s="44">
        <f ca="1">INDIRECT(ADDRESS(D137+150,17,4,TRUE,"Van+Ute"))</f>
        <v>6944.6680134217131</v>
      </c>
    </row>
    <row r="146" spans="3:17" ht="15.5" x14ac:dyDescent="0.35">
      <c r="C146" s="24" t="s">
        <v>43</v>
      </c>
      <c r="D146" s="187" t="s">
        <v>108</v>
      </c>
      <c r="E146" s="188" t="s">
        <v>108</v>
      </c>
      <c r="F146" s="188" t="s">
        <v>108</v>
      </c>
      <c r="G146" s="188" t="s">
        <v>108</v>
      </c>
      <c r="H146" s="188" t="s">
        <v>108</v>
      </c>
      <c r="I146" s="188" t="s">
        <v>108</v>
      </c>
      <c r="J146" s="188" t="s">
        <v>108</v>
      </c>
      <c r="K146" s="188" t="s">
        <v>108</v>
      </c>
      <c r="L146" s="188" t="s">
        <v>108</v>
      </c>
      <c r="M146" s="188" t="s">
        <v>108</v>
      </c>
      <c r="N146" s="188" t="s">
        <v>108</v>
      </c>
      <c r="O146" s="188" t="s">
        <v>108</v>
      </c>
      <c r="P146" s="188" t="s">
        <v>108</v>
      </c>
      <c r="Q146" s="194" t="s">
        <v>108</v>
      </c>
    </row>
    <row r="147" spans="3:17" ht="15.5" x14ac:dyDescent="0.35">
      <c r="C147" s="24" t="s">
        <v>44</v>
      </c>
      <c r="D147" s="187" t="s">
        <v>108</v>
      </c>
      <c r="E147" s="188" t="s">
        <v>108</v>
      </c>
      <c r="F147" s="188" t="s">
        <v>108</v>
      </c>
      <c r="G147" s="188" t="s">
        <v>108</v>
      </c>
      <c r="H147" s="188" t="s">
        <v>108</v>
      </c>
      <c r="I147" s="188" t="s">
        <v>108</v>
      </c>
      <c r="J147" s="188" t="s">
        <v>108</v>
      </c>
      <c r="K147" s="188" t="s">
        <v>108</v>
      </c>
      <c r="L147" s="188" t="s">
        <v>108</v>
      </c>
      <c r="M147" s="188" t="s">
        <v>108</v>
      </c>
      <c r="N147" s="188" t="s">
        <v>108</v>
      </c>
      <c r="O147" s="188" t="s">
        <v>108</v>
      </c>
      <c r="P147" s="188" t="s">
        <v>108</v>
      </c>
      <c r="Q147" s="194" t="s">
        <v>108</v>
      </c>
    </row>
    <row r="148" spans="3:17" ht="16" thickBot="1" x14ac:dyDescent="0.4">
      <c r="C148" s="24" t="s">
        <v>42</v>
      </c>
      <c r="D148" s="42">
        <f ca="1">INDIRECT(ADDRESS(D137+27,4,4,TRUE,"Motorcycle"))</f>
        <v>8070.4461278607005</v>
      </c>
      <c r="E148" s="43">
        <f ca="1">INDIRECT(ADDRESS(D137+27,5,4,TRUE,"Motorcycle"))</f>
        <v>8207.3917572871305</v>
      </c>
      <c r="F148" s="43">
        <f ca="1">INDIRECT(ADDRESS(D137+27,6,4,TRUE,"Motorcycle"))</f>
        <v>8422.3608522232353</v>
      </c>
      <c r="G148" s="43">
        <f ca="1">INDIRECT(ADDRESS($D137+27,7,4,TRUE,"Motorcycle"))</f>
        <v>8681.1715530377278</v>
      </c>
      <c r="H148" s="43">
        <f ca="1">INDIRECT(ADDRESS($D137+27,8,4,TRUE,"Motorcycle"))</f>
        <v>8980.6416018100099</v>
      </c>
      <c r="I148" s="43">
        <f ca="1">INDIRECT(ADDRESS(D137+27,9,4,TRUE,"Motorcycle"))</f>
        <v>9287.914022480858</v>
      </c>
      <c r="J148" s="43">
        <f ca="1">INDIRECT(ADDRESS(D137+27,10,4,TRUE,"Motorcycle"))</f>
        <v>9562.7781835056703</v>
      </c>
      <c r="K148" s="43">
        <f ca="1">INDIRECT(ADDRESS(D137+27,11,4,TRUE,"Motorcycle"))</f>
        <v>9662.1183419339541</v>
      </c>
      <c r="L148" s="43">
        <f ca="1">INDIRECT(ADDRESS(D137+27,12,4,TRUE,"Motorcycle"))</f>
        <v>9647.2355877563041</v>
      </c>
      <c r="M148" s="43">
        <f ca="1">INDIRECT(ADDRESS(D137+27,13,4,TRUE,"Motorcycle"))</f>
        <v>9445.1174116119528</v>
      </c>
      <c r="N148" s="43">
        <f ca="1">INDIRECT(ADDRESS(D137+27,14,4,TRUE,"Motorcycle"))</f>
        <v>9179.4085678807187</v>
      </c>
      <c r="O148" s="43">
        <f ca="1">INDIRECT(ADDRESS(D137+27,15,4,TRUE,"Motorcycle"))</f>
        <v>9223.7865075047666</v>
      </c>
      <c r="P148" s="43">
        <f ca="1">INDIRECT(ADDRESS(D137+27,16,4,TRUE,"Motorcycle"))</f>
        <v>9239.701152213509</v>
      </c>
      <c r="Q148" s="44">
        <f ca="1">INDIRECT(ADDRESS(D137+27,17,4,TRUE,"Motorcycle"))</f>
        <v>9236.5503953927964</v>
      </c>
    </row>
    <row r="149" spans="3:17" ht="16.5" thickTop="1" thickBot="1" x14ac:dyDescent="0.4">
      <c r="C149" s="31" t="s">
        <v>45</v>
      </c>
      <c r="D149" s="189">
        <f ca="1">SUM(D142:D148)</f>
        <v>129113.78156095844</v>
      </c>
      <c r="E149" s="48">
        <f t="shared" ref="E149:N149" ca="1" si="18">SUM(E142:E148)</f>
        <v>132684.58529642742</v>
      </c>
      <c r="F149" s="48">
        <f t="shared" ca="1" si="18"/>
        <v>137456.84773212209</v>
      </c>
      <c r="G149" s="48">
        <f t="shared" ca="1" si="18"/>
        <v>146188.16364704043</v>
      </c>
      <c r="H149" s="48">
        <f t="shared" ca="1" si="18"/>
        <v>155077.47422850892</v>
      </c>
      <c r="I149" s="48">
        <f t="shared" ca="1" si="18"/>
        <v>161783.71757067091</v>
      </c>
      <c r="J149" s="48">
        <f t="shared" ca="1" si="18"/>
        <v>172198.99605544523</v>
      </c>
      <c r="K149" s="48">
        <f t="shared" ca="1" si="18"/>
        <v>171719.63647115044</v>
      </c>
      <c r="L149" s="48">
        <f t="shared" ca="1" si="18"/>
        <v>168764.5775652985</v>
      </c>
      <c r="M149" s="48">
        <f t="shared" ca="1" si="18"/>
        <v>163464.74997161436</v>
      </c>
      <c r="N149" s="48">
        <f t="shared" ca="1" si="18"/>
        <v>157852.09570292901</v>
      </c>
      <c r="O149" s="48">
        <f t="shared" ref="O149:Q149" ca="1" si="19">SUM(O142:O148)</f>
        <v>151057.51760612879</v>
      </c>
      <c r="P149" s="48">
        <f t="shared" ca="1" si="19"/>
        <v>143854.97509293121</v>
      </c>
      <c r="Q149" s="49">
        <f t="shared" ca="1" si="19"/>
        <v>136291.50406634988</v>
      </c>
    </row>
    <row r="150" spans="3:17" ht="13" thickTop="1" x14ac:dyDescent="0.25"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43"/>
    </row>
    <row r="151" spans="3:17" ht="13" thickBot="1" x14ac:dyDescent="0.3"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43"/>
    </row>
    <row r="152" spans="3:17" ht="16.5" thickTop="1" thickBot="1" x14ac:dyDescent="0.4">
      <c r="C152" s="180" t="str">
        <f ca="1">INDIRECT(ADDRESS(D152+27,3,4,TRUE,"Car+SUV"))</f>
        <v>West Coast</v>
      </c>
      <c r="D152" s="190">
        <v>11</v>
      </c>
      <c r="E152" s="145" t="s">
        <v>170</v>
      </c>
      <c r="F152" s="145"/>
      <c r="G152" s="145"/>
      <c r="H152" s="145"/>
      <c r="I152" s="145"/>
      <c r="J152" s="145"/>
      <c r="K152" s="145"/>
      <c r="L152" s="145"/>
      <c r="M152" s="145"/>
      <c r="N152" s="43"/>
    </row>
    <row r="153" spans="3:17" ht="13.5" thickTop="1" thickBot="1" x14ac:dyDescent="0.3"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43"/>
    </row>
    <row r="154" spans="3:17" ht="16" thickTop="1" x14ac:dyDescent="0.35">
      <c r="C154" s="32" t="s">
        <v>46</v>
      </c>
      <c r="D154" s="183"/>
      <c r="E154" s="183"/>
      <c r="F154" s="183"/>
      <c r="G154" s="183"/>
      <c r="H154" s="183"/>
      <c r="I154" s="183"/>
      <c r="J154" s="40"/>
      <c r="K154" s="40"/>
      <c r="L154" s="40"/>
      <c r="M154" s="40"/>
      <c r="N154" s="40"/>
      <c r="O154" s="34"/>
      <c r="P154" s="34"/>
      <c r="Q154" s="35"/>
    </row>
    <row r="155" spans="3:17" ht="13.5" thickBot="1" x14ac:dyDescent="0.35">
      <c r="C155" s="36"/>
      <c r="D155" s="184" t="s">
        <v>25</v>
      </c>
      <c r="E155" s="184" t="s">
        <v>37</v>
      </c>
      <c r="F155" s="184" t="s">
        <v>38</v>
      </c>
      <c r="G155" s="37" t="s">
        <v>177</v>
      </c>
      <c r="H155" s="37" t="s">
        <v>178</v>
      </c>
      <c r="I155" s="184" t="s">
        <v>26</v>
      </c>
      <c r="J155" s="184" t="s">
        <v>27</v>
      </c>
      <c r="K155" s="184" t="s">
        <v>28</v>
      </c>
      <c r="L155" s="184" t="s">
        <v>29</v>
      </c>
      <c r="M155" s="184" t="s">
        <v>30</v>
      </c>
      <c r="N155" s="184" t="s">
        <v>31</v>
      </c>
      <c r="O155" s="37" t="s">
        <v>174</v>
      </c>
      <c r="P155" s="37" t="s">
        <v>175</v>
      </c>
      <c r="Q155" s="38" t="s">
        <v>176</v>
      </c>
    </row>
    <row r="156" spans="3:17" ht="14" thickTop="1" thickBot="1" x14ac:dyDescent="0.35">
      <c r="C156" s="70"/>
      <c r="D156" s="185" t="s">
        <v>39</v>
      </c>
      <c r="E156" s="186" t="s">
        <v>39</v>
      </c>
      <c r="F156" s="186" t="s">
        <v>39</v>
      </c>
      <c r="G156" s="65" t="s">
        <v>39</v>
      </c>
      <c r="H156" s="65" t="s">
        <v>39</v>
      </c>
      <c r="I156" s="186" t="s">
        <v>39</v>
      </c>
      <c r="J156" s="186" t="s">
        <v>32</v>
      </c>
      <c r="K156" s="186" t="s">
        <v>32</v>
      </c>
      <c r="L156" s="186" t="s">
        <v>32</v>
      </c>
      <c r="M156" s="186" t="s">
        <v>32</v>
      </c>
      <c r="N156" s="186" t="s">
        <v>32</v>
      </c>
      <c r="O156" s="65" t="s">
        <v>32</v>
      </c>
      <c r="P156" s="65" t="s">
        <v>32</v>
      </c>
      <c r="Q156" s="66" t="s">
        <v>32</v>
      </c>
    </row>
    <row r="157" spans="3:17" ht="16" thickTop="1" x14ac:dyDescent="0.35">
      <c r="C157" s="24" t="s">
        <v>113</v>
      </c>
      <c r="D157" s="42">
        <f ca="1">INDIRECT(ADDRESS(D152+27,4,4,TRUE,"Car+SUV"))-D159</f>
        <v>20182.479333360752</v>
      </c>
      <c r="E157" s="40">
        <f ca="1">INDIRECT(ADDRESS(D152+27,5,4,TRUE,"Car+SUV"))-E159</f>
        <v>20281.832878820827</v>
      </c>
      <c r="F157" s="40">
        <f ca="1">INDIRECT(ADDRESS(D152+27,6,4,TRUE,"Car+SUV"))-F159</f>
        <v>20070.969518175076</v>
      </c>
      <c r="G157" s="40">
        <f ca="1">INDIRECT(ADDRESS($D152+27,7,4,TRUE,"Car+SUV"))-G159</f>
        <v>20006.223620791247</v>
      </c>
      <c r="H157" s="40">
        <f ca="1">INDIRECT(ADDRESS($D152+27,8,4,TRUE,"Car+SUV"))-H159</f>
        <v>19976.275860820511</v>
      </c>
      <c r="I157" s="40">
        <f ca="1">INDIRECT(ADDRESS(D152+27,9,4,TRUE,"Car+SUV"))-I159</f>
        <v>20187.20397578643</v>
      </c>
      <c r="J157" s="40">
        <f ca="1">INDIRECT(ADDRESS(D152+27,10,4,TRUE,"Car+SUV"))-J159</f>
        <v>20566.013446503064</v>
      </c>
      <c r="K157" s="40">
        <f ca="1">INDIRECT(ADDRESS(D152+27,11,4,TRUE,"Car+SUV"))-K159</f>
        <v>19081.162982093461</v>
      </c>
      <c r="L157" s="40">
        <f ca="1">INDIRECT(ADDRESS(D152+27,12,4,TRUE,"Car+SUV"))-L159</f>
        <v>17114.746850028609</v>
      </c>
      <c r="M157" s="40">
        <f ca="1">INDIRECT(ADDRESS(D152+27,13,4,TRUE,"Car+SUV"))-M159</f>
        <v>15262.452327839484</v>
      </c>
      <c r="N157" s="40">
        <f ca="1">INDIRECT(ADDRESS(D152+27,14,4,TRUE,"Car+SUV"))-N159</f>
        <v>13473.32685887482</v>
      </c>
      <c r="O157" s="40">
        <f ca="1">INDIRECT(ADDRESS(D152+27,15,4,TRUE,"Car+SUV"))-O159</f>
        <v>11527.309466870553</v>
      </c>
      <c r="P157" s="40">
        <f ca="1">INDIRECT(ADDRESS(D152+27,16,4,TRUE,"Car+SUV"))-P159</f>
        <v>9642.2724515078444</v>
      </c>
      <c r="Q157" s="41">
        <f ca="1">INDIRECT(ADDRESS(D152+27,17,4,TRUE,"Car+SUV"))-Q159</f>
        <v>7830.2037297731822</v>
      </c>
    </row>
    <row r="158" spans="3:17" ht="15.5" x14ac:dyDescent="0.35">
      <c r="C158" s="24" t="s">
        <v>114</v>
      </c>
      <c r="D158" s="42">
        <f ca="1">INDIRECT(ADDRESS(D152+27,4,4,TRUE,"Van+Ute"))-D160</f>
        <v>6009.9335797665171</v>
      </c>
      <c r="E158" s="43">
        <f ca="1">INDIRECT(ADDRESS(D152+27,5,4,TRUE,"Van+Ute"))-E160</f>
        <v>6086.6430271763165</v>
      </c>
      <c r="F158" s="43">
        <f ca="1">INDIRECT(ADDRESS(D152+27,6,4,TRUE,"Van+Ute"))-F160</f>
        <v>6176.900503929548</v>
      </c>
      <c r="G158" s="43">
        <f ca="1">INDIRECT(ADDRESS($D152+27,7,4,TRUE,"Van+Ute"))-G160</f>
        <v>6113.9929247168629</v>
      </c>
      <c r="H158" s="43">
        <f ca="1">INDIRECT(ADDRESS($D152+27,8,4,TRUE,"Van+Ute"))-H160</f>
        <v>6192.8087262688941</v>
      </c>
      <c r="I158" s="43">
        <f ca="1">INDIRECT(ADDRESS(D152+27,9,4,TRUE,"Van+Ute"))-I160</f>
        <v>6357.7560541365056</v>
      </c>
      <c r="J158" s="43">
        <f ca="1">INDIRECT(ADDRESS(D152+27,10,4,TRUE,"Van+Ute"))-J160</f>
        <v>6583.0371593846503</v>
      </c>
      <c r="K158" s="43">
        <f ca="1">INDIRECT(ADDRESS(D152+27,11,4,TRUE,"Van+Ute"))-K160</f>
        <v>6343.067504959532</v>
      </c>
      <c r="L158" s="43">
        <f ca="1">INDIRECT(ADDRESS(D152+27,12,4,TRUE,"Van+Ute"))-L160</f>
        <v>5976.652263725704</v>
      </c>
      <c r="M158" s="43">
        <f ca="1">INDIRECT(ADDRESS(D152+27,13,4,TRUE,"Van+Ute"))-M160</f>
        <v>5636.9439258988368</v>
      </c>
      <c r="N158" s="43">
        <f ca="1">INDIRECT(ADDRESS(D152+27,14,4,TRUE,"Van+Ute"))-N160</f>
        <v>5319.4400329651471</v>
      </c>
      <c r="O158" s="43">
        <f ca="1">INDIRECT(ADDRESS(D152+27,15,4,TRUE,"Van+Ute"))-O160</f>
        <v>4963.6937297325348</v>
      </c>
      <c r="P158" s="43">
        <f ca="1">INDIRECT(ADDRESS(D152+27,16,4,TRUE,"Van+Ute"))-P160</f>
        <v>4608.6560440970416</v>
      </c>
      <c r="Q158" s="44">
        <f ca="1">INDIRECT(ADDRESS(D152+27,17,4,TRUE,"Van+Ute"))-Q160</f>
        <v>4250.6734528603956</v>
      </c>
    </row>
    <row r="159" spans="3:17" ht="15.5" x14ac:dyDescent="0.35">
      <c r="C159" s="24" t="s">
        <v>115</v>
      </c>
      <c r="D159" s="42">
        <f ca="1">INDIRECT(ADDRESS(D152+150,4,4,TRUE,"Car+SUV"))</f>
        <v>29.007425425681731</v>
      </c>
      <c r="E159" s="43">
        <f ca="1">INDIRECT(ADDRESS(D152+150,5,4,TRUE,"Car+SUV"))</f>
        <v>27.006804435483872</v>
      </c>
      <c r="F159" s="43">
        <f ca="1">INDIRECT(ADDRESS(D152+150,6,4,TRUE,"Car+SUV"))</f>
        <v>29.006833176248822</v>
      </c>
      <c r="G159" s="43">
        <f ca="1">INDIRECT(ADDRESS($D152+150,7,4,TRUE,"Car+SUV"))</f>
        <v>32.006490213974239</v>
      </c>
      <c r="H159" s="43">
        <f ca="1">INDIRECT(ADDRESS($D152+150,8,4,TRUE,"Car+SUV"))</f>
        <v>35.006764592191722</v>
      </c>
      <c r="I159" s="43">
        <f ca="1">INDIRECT(ADDRESS(D152+150,9,4,TRUE,"Car+SUV"))</f>
        <v>34.004204018547135</v>
      </c>
      <c r="J159" s="43">
        <f ca="1">INDIRECT(ADDRESS(D152+150,10,4,TRUE,"Car+SUV"))</f>
        <v>38.641396420169116</v>
      </c>
      <c r="K159" s="43">
        <f ca="1">INDIRECT(ADDRESS(D152+150,11,4,TRUE,"Car+SUV"))</f>
        <v>771.55640704163113</v>
      </c>
      <c r="L159" s="43">
        <f ca="1">INDIRECT(ADDRESS(D152+150,12,4,TRUE,"Car+SUV"))</f>
        <v>1494.4405466020321</v>
      </c>
      <c r="M159" s="43">
        <f ca="1">INDIRECT(ADDRESS(D152+150,13,4,TRUE,"Car+SUV"))</f>
        <v>2181.6369572961112</v>
      </c>
      <c r="N159" s="43">
        <f ca="1">INDIRECT(ADDRESS(D152+150,14,4,TRUE,"Car+SUV"))</f>
        <v>2831.652569022272</v>
      </c>
      <c r="O159" s="43">
        <f ca="1">INDIRECT(ADDRESS(D152+150,15,4,TRUE,"Car+SUV"))</f>
        <v>3442.6138178451483</v>
      </c>
      <c r="P159" s="43">
        <f ca="1">INDIRECT(ADDRESS(D152+150,16,4,TRUE,"Car+SUV"))</f>
        <v>4009.2426201759126</v>
      </c>
      <c r="Q159" s="44">
        <f ca="1">INDIRECT(ADDRESS(D152+150,17,4,TRUE,"Car+SUV"))</f>
        <v>4532.4514623056639</v>
      </c>
    </row>
    <row r="160" spans="3:17" ht="15.5" x14ac:dyDescent="0.35">
      <c r="C160" s="24" t="s">
        <v>116</v>
      </c>
      <c r="D160" s="42">
        <f ca="1">INDIRECT(ADDRESS(D152+150,4,4,TRUE,"Van+Ute"))</f>
        <v>51</v>
      </c>
      <c r="E160" s="43">
        <f ca="1">INDIRECT(ADDRESS(D152+150,5,4,TRUE,"Van+Ute"))</f>
        <v>55</v>
      </c>
      <c r="F160" s="43">
        <f ca="1">INDIRECT(ADDRESS(D152+150,6,4,TRUE,"Van+Ute"))</f>
        <v>53</v>
      </c>
      <c r="G160" s="43">
        <f ca="1">INDIRECT(ADDRESS($D152+150,7,4,TRUE,"Van+Ute"))</f>
        <v>57</v>
      </c>
      <c r="H160" s="43">
        <f ca="1">INDIRECT(ADDRESS($D152+150,8,4,TRUE,"Van+Ute"))</f>
        <v>58</v>
      </c>
      <c r="I160" s="43">
        <f ca="1">INDIRECT(ADDRESS(D152+150,9,4,TRUE,"Van+Ute"))</f>
        <v>60</v>
      </c>
      <c r="J160" s="43">
        <f ca="1">INDIRECT(ADDRESS(D152+150,10,4,TRUE,"Van+Ute"))</f>
        <v>68.182268990786</v>
      </c>
      <c r="K160" s="43">
        <f ca="1">INDIRECT(ADDRESS(D152+150,11,4,TRUE,"Van+Ute"))</f>
        <v>330.41826597617609</v>
      </c>
      <c r="L160" s="43">
        <f ca="1">INDIRECT(ADDRESS(D152+150,12,4,TRUE,"Van+Ute"))</f>
        <v>588.77672253811318</v>
      </c>
      <c r="M160" s="43">
        <f ca="1">INDIRECT(ADDRESS(D152+150,13,4,TRUE,"Van+Ute"))</f>
        <v>834.61295408858007</v>
      </c>
      <c r="N160" s="43">
        <f ca="1">INDIRECT(ADDRESS(D152+150,14,4,TRUE,"Van+Ute"))</f>
        <v>1068.0773402397958</v>
      </c>
      <c r="O160" s="43">
        <f ca="1">INDIRECT(ADDRESS(D152+150,15,4,TRUE,"Van+Ute"))</f>
        <v>1287.4824062744999</v>
      </c>
      <c r="P160" s="43">
        <f ca="1">INDIRECT(ADDRESS(D152+150,16,4,TRUE,"Van+Ute"))</f>
        <v>1492.1167656299449</v>
      </c>
      <c r="Q160" s="44">
        <f ca="1">INDIRECT(ADDRESS(D152+150,17,4,TRUE,"Van+Ute"))</f>
        <v>1682.4341408280768</v>
      </c>
    </row>
    <row r="161" spans="3:17" ht="15.5" x14ac:dyDescent="0.35">
      <c r="C161" s="24" t="s">
        <v>43</v>
      </c>
      <c r="D161" s="187" t="s">
        <v>108</v>
      </c>
      <c r="E161" s="188" t="s">
        <v>108</v>
      </c>
      <c r="F161" s="188" t="s">
        <v>108</v>
      </c>
      <c r="G161" s="188" t="s">
        <v>108</v>
      </c>
      <c r="H161" s="188" t="s">
        <v>108</v>
      </c>
      <c r="I161" s="188" t="s">
        <v>108</v>
      </c>
      <c r="J161" s="188" t="s">
        <v>108</v>
      </c>
      <c r="K161" s="188" t="s">
        <v>108</v>
      </c>
      <c r="L161" s="188" t="s">
        <v>108</v>
      </c>
      <c r="M161" s="188" t="s">
        <v>108</v>
      </c>
      <c r="N161" s="188" t="s">
        <v>108</v>
      </c>
      <c r="O161" s="188" t="s">
        <v>108</v>
      </c>
      <c r="P161" s="188" t="s">
        <v>108</v>
      </c>
      <c r="Q161" s="194" t="s">
        <v>108</v>
      </c>
    </row>
    <row r="162" spans="3:17" ht="15.5" x14ac:dyDescent="0.35">
      <c r="C162" s="24" t="s">
        <v>44</v>
      </c>
      <c r="D162" s="187" t="s">
        <v>108</v>
      </c>
      <c r="E162" s="188" t="s">
        <v>108</v>
      </c>
      <c r="F162" s="188" t="s">
        <v>108</v>
      </c>
      <c r="G162" s="188" t="s">
        <v>108</v>
      </c>
      <c r="H162" s="188" t="s">
        <v>108</v>
      </c>
      <c r="I162" s="188" t="s">
        <v>108</v>
      </c>
      <c r="J162" s="188" t="s">
        <v>108</v>
      </c>
      <c r="K162" s="188" t="s">
        <v>108</v>
      </c>
      <c r="L162" s="188" t="s">
        <v>108</v>
      </c>
      <c r="M162" s="188" t="s">
        <v>108</v>
      </c>
      <c r="N162" s="188" t="s">
        <v>108</v>
      </c>
      <c r="O162" s="188" t="s">
        <v>108</v>
      </c>
      <c r="P162" s="188" t="s">
        <v>108</v>
      </c>
      <c r="Q162" s="194" t="s">
        <v>108</v>
      </c>
    </row>
    <row r="163" spans="3:17" ht="16" thickBot="1" x14ac:dyDescent="0.4">
      <c r="C163" s="24" t="s">
        <v>42</v>
      </c>
      <c r="D163" s="42">
        <f ca="1">INDIRECT(ADDRESS(D152+27,4,4,TRUE,"Motorcycle"))</f>
        <v>1816.7373556510834</v>
      </c>
      <c r="E163" s="43">
        <f ca="1">INDIRECT(ADDRESS(D152+27,5,4,TRUE,"Motorcycle"))</f>
        <v>1844.8892134535913</v>
      </c>
      <c r="F163" s="43">
        <f ca="1">INDIRECT(ADDRESS(D152+27,6,4,TRUE,"Motorcycle"))</f>
        <v>1838.6558752447884</v>
      </c>
      <c r="G163" s="43">
        <f ca="1">INDIRECT(ADDRESS($D152+27,7,4,TRUE,"Motorcycle"))</f>
        <v>1827.1885989592886</v>
      </c>
      <c r="H163" s="43">
        <f ca="1">INDIRECT(ADDRESS($D152+27,8,4,TRUE,"Motorcycle"))</f>
        <v>1851.7633386290158</v>
      </c>
      <c r="I163" s="43">
        <f ca="1">INDIRECT(ADDRESS(D152+27,9,4,TRUE,"Motorcycle"))</f>
        <v>1869.4357340670081</v>
      </c>
      <c r="J163" s="43">
        <f ca="1">INDIRECT(ADDRESS(D152+27,10,4,TRUE,"Motorcycle"))</f>
        <v>1868.3699050942098</v>
      </c>
      <c r="K163" s="43">
        <f ca="1">INDIRECT(ADDRESS(D152+27,11,4,TRUE,"Motorcycle"))</f>
        <v>1835.5315689064428</v>
      </c>
      <c r="L163" s="43">
        <f ca="1">INDIRECT(ADDRESS(D152+27,12,4,TRUE,"Motorcycle"))</f>
        <v>1782.7559151642079</v>
      </c>
      <c r="M163" s="43">
        <f ca="1">INDIRECT(ADDRESS(D152+27,13,4,TRUE,"Motorcycle"))</f>
        <v>1698.7225722835187</v>
      </c>
      <c r="N163" s="43">
        <f ca="1">INDIRECT(ADDRESS(D152+27,14,4,TRUE,"Motorcycle"))</f>
        <v>1611.0049940173997</v>
      </c>
      <c r="O163" s="43">
        <f ca="1">INDIRECT(ADDRESS(D152+27,15,4,TRUE,"Motorcycle"))</f>
        <v>1579.5669517638953</v>
      </c>
      <c r="P163" s="43">
        <f ca="1">INDIRECT(ADDRESS(D152+27,16,4,TRUE,"Motorcycle"))</f>
        <v>1543.877463741682</v>
      </c>
      <c r="Q163" s="44">
        <f ca="1">INDIRECT(ADDRESS(D152+27,17,4,TRUE,"Motorcycle"))</f>
        <v>1505.8103856581138</v>
      </c>
    </row>
    <row r="164" spans="3:17" ht="16.5" thickTop="1" thickBot="1" x14ac:dyDescent="0.4">
      <c r="C164" s="31" t="s">
        <v>45</v>
      </c>
      <c r="D164" s="189">
        <f ca="1">SUM(D157:D163)</f>
        <v>28089.157694204037</v>
      </c>
      <c r="E164" s="48">
        <f t="shared" ref="E164:N164" ca="1" si="20">SUM(E157:E163)</f>
        <v>28295.371923886221</v>
      </c>
      <c r="F164" s="48">
        <f t="shared" ca="1" si="20"/>
        <v>28168.532730525661</v>
      </c>
      <c r="G164" s="48">
        <f t="shared" ca="1" si="20"/>
        <v>28036.411634681372</v>
      </c>
      <c r="H164" s="48">
        <f t="shared" ca="1" si="20"/>
        <v>28113.854690310611</v>
      </c>
      <c r="I164" s="48">
        <f t="shared" ca="1" si="20"/>
        <v>28508.399968008489</v>
      </c>
      <c r="J164" s="48">
        <f t="shared" ca="1" si="20"/>
        <v>29124.244176392876</v>
      </c>
      <c r="K164" s="48">
        <f t="shared" ca="1" si="20"/>
        <v>28361.736728977237</v>
      </c>
      <c r="L164" s="48">
        <f t="shared" ca="1" si="20"/>
        <v>26957.372298058668</v>
      </c>
      <c r="M164" s="48">
        <f t="shared" ca="1" si="20"/>
        <v>25614.36873740653</v>
      </c>
      <c r="N164" s="48">
        <f t="shared" ca="1" si="20"/>
        <v>24303.501795119435</v>
      </c>
      <c r="O164" s="48">
        <f t="shared" ref="O164:Q164" ca="1" si="21">SUM(O157:O163)</f>
        <v>22800.66637248663</v>
      </c>
      <c r="P164" s="48">
        <f t="shared" ca="1" si="21"/>
        <v>21296.165345152425</v>
      </c>
      <c r="Q164" s="49">
        <f t="shared" ca="1" si="21"/>
        <v>19801.573171425433</v>
      </c>
    </row>
    <row r="165" spans="3:17" ht="13" thickTop="1" x14ac:dyDescent="0.25"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43"/>
    </row>
    <row r="166" spans="3:17" ht="13" thickBot="1" x14ac:dyDescent="0.3"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43"/>
    </row>
    <row r="167" spans="3:17" ht="16.5" thickTop="1" thickBot="1" x14ac:dyDescent="0.4">
      <c r="C167" s="180" t="str">
        <f ca="1">INDIRECT(ADDRESS(D167+27,3,4,TRUE,"Car+SUV"))</f>
        <v>Canterbury</v>
      </c>
      <c r="D167" s="190">
        <v>12</v>
      </c>
      <c r="E167" s="145" t="s">
        <v>170</v>
      </c>
      <c r="F167" s="145"/>
      <c r="G167" s="145"/>
      <c r="H167" s="145"/>
      <c r="I167" s="145"/>
      <c r="J167" s="145"/>
      <c r="K167" s="145"/>
      <c r="L167" s="145"/>
      <c r="M167" s="145"/>
      <c r="N167" s="43"/>
    </row>
    <row r="168" spans="3:17" ht="13.5" thickTop="1" thickBot="1" x14ac:dyDescent="0.3"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43"/>
    </row>
    <row r="169" spans="3:17" ht="16" thickTop="1" x14ac:dyDescent="0.35">
      <c r="C169" s="32" t="s">
        <v>46</v>
      </c>
      <c r="D169" s="183"/>
      <c r="E169" s="183"/>
      <c r="F169" s="183"/>
      <c r="G169" s="183"/>
      <c r="H169" s="183"/>
      <c r="I169" s="183"/>
      <c r="J169" s="40"/>
      <c r="K169" s="40"/>
      <c r="L169" s="40"/>
      <c r="M169" s="40"/>
      <c r="N169" s="40"/>
      <c r="O169" s="34"/>
      <c r="P169" s="34"/>
      <c r="Q169" s="35"/>
    </row>
    <row r="170" spans="3:17" ht="13.5" thickBot="1" x14ac:dyDescent="0.35">
      <c r="C170" s="36"/>
      <c r="D170" s="184" t="s">
        <v>25</v>
      </c>
      <c r="E170" s="184" t="s">
        <v>37</v>
      </c>
      <c r="F170" s="184" t="s">
        <v>38</v>
      </c>
      <c r="G170" s="37" t="s">
        <v>177</v>
      </c>
      <c r="H170" s="37" t="s">
        <v>178</v>
      </c>
      <c r="I170" s="184" t="s">
        <v>26</v>
      </c>
      <c r="J170" s="184" t="s">
        <v>27</v>
      </c>
      <c r="K170" s="184" t="s">
        <v>28</v>
      </c>
      <c r="L170" s="184" t="s">
        <v>29</v>
      </c>
      <c r="M170" s="184" t="s">
        <v>30</v>
      </c>
      <c r="N170" s="184" t="s">
        <v>31</v>
      </c>
      <c r="O170" s="37" t="s">
        <v>174</v>
      </c>
      <c r="P170" s="37" t="s">
        <v>175</v>
      </c>
      <c r="Q170" s="38" t="s">
        <v>176</v>
      </c>
    </row>
    <row r="171" spans="3:17" ht="14" thickTop="1" thickBot="1" x14ac:dyDescent="0.35">
      <c r="C171" s="70"/>
      <c r="D171" s="185" t="s">
        <v>39</v>
      </c>
      <c r="E171" s="186" t="s">
        <v>39</v>
      </c>
      <c r="F171" s="186" t="s">
        <v>39</v>
      </c>
      <c r="G171" s="65" t="s">
        <v>39</v>
      </c>
      <c r="H171" s="65" t="s">
        <v>39</v>
      </c>
      <c r="I171" s="186" t="s">
        <v>39</v>
      </c>
      <c r="J171" s="186" t="s">
        <v>32</v>
      </c>
      <c r="K171" s="186" t="s">
        <v>32</v>
      </c>
      <c r="L171" s="186" t="s">
        <v>32</v>
      </c>
      <c r="M171" s="186" t="s">
        <v>32</v>
      </c>
      <c r="N171" s="186" t="s">
        <v>32</v>
      </c>
      <c r="O171" s="65" t="s">
        <v>32</v>
      </c>
      <c r="P171" s="65" t="s">
        <v>32</v>
      </c>
      <c r="Q171" s="66" t="s">
        <v>32</v>
      </c>
    </row>
    <row r="172" spans="3:17" ht="16" thickTop="1" x14ac:dyDescent="0.35">
      <c r="C172" s="24" t="s">
        <v>113</v>
      </c>
      <c r="D172" s="42">
        <f ca="1">INDIRECT(ADDRESS(D167+27,4,4,TRUE,"Car+SUV"))-D174</f>
        <v>416307.31071847206</v>
      </c>
      <c r="E172" s="40">
        <f ca="1">INDIRECT(ADDRESS(D167+27,5,4,TRUE,"Car+SUV"))-E174</f>
        <v>426777.83957787784</v>
      </c>
      <c r="F172" s="40">
        <f ca="1">INDIRECT(ADDRESS(D167+27,6,4,TRUE,"Car+SUV"))-F174</f>
        <v>441392.55226762872</v>
      </c>
      <c r="G172" s="40">
        <f ca="1">INDIRECT(ADDRESS($D167+27,7,4,TRUE,"Car+SUV"))-G174</f>
        <v>455200.44126689329</v>
      </c>
      <c r="H172" s="40">
        <f ca="1">INDIRECT(ADDRESS($D167+27,8,4,TRUE,"Car+SUV"))-H174</f>
        <v>468186.67760890455</v>
      </c>
      <c r="I172" s="40">
        <f ca="1">INDIRECT(ADDRESS(D167+27,9,4,TRUE,"Car+SUV"))-I174</f>
        <v>469782.81273730699</v>
      </c>
      <c r="J172" s="40">
        <f ca="1">INDIRECT(ADDRESS(D167+27,10,4,TRUE,"Car+SUV"))-J174</f>
        <v>521404.81889949483</v>
      </c>
      <c r="K172" s="40">
        <f ca="1">INDIRECT(ADDRESS(D167+27,11,4,TRUE,"Car+SUV"))-K174</f>
        <v>516011.93938763597</v>
      </c>
      <c r="L172" s="40">
        <f ca="1">INDIRECT(ADDRESS(D167+27,12,4,TRUE,"Car+SUV"))-L174</f>
        <v>501258.21248788806</v>
      </c>
      <c r="M172" s="40">
        <f ca="1">INDIRECT(ADDRESS(D167+27,13,4,TRUE,"Car+SUV"))-M174</f>
        <v>478156.12824719562</v>
      </c>
      <c r="N172" s="40">
        <f ca="1">INDIRECT(ADDRESS(D167+27,14,4,TRUE,"Car+SUV"))-N174</f>
        <v>450864.21705802757</v>
      </c>
      <c r="O172" s="40">
        <f ca="1">INDIRECT(ADDRESS(D167+27,15,4,TRUE,"Car+SUV"))-O174</f>
        <v>414389.15999709105</v>
      </c>
      <c r="P172" s="40">
        <f ca="1">INDIRECT(ADDRESS(D167+27,16,4,TRUE,"Car+SUV"))-P174</f>
        <v>373801.26644458855</v>
      </c>
      <c r="Q172" s="41">
        <f ca="1">INDIRECT(ADDRESS(D167+27,17,4,TRUE,"Car+SUV"))-Q174</f>
        <v>329203.10245894571</v>
      </c>
    </row>
    <row r="173" spans="3:17" ht="15.5" x14ac:dyDescent="0.35">
      <c r="C173" s="24" t="s">
        <v>114</v>
      </c>
      <c r="D173" s="42">
        <f ca="1">INDIRECT(ADDRESS(D167+27,4,4,TRUE,"Van+Ute"))-D175</f>
        <v>69186.324727235275</v>
      </c>
      <c r="E173" s="43">
        <f ca="1">INDIRECT(ADDRESS(D167+27,5,4,TRUE,"Van+Ute"))-E175</f>
        <v>74491.70263884704</v>
      </c>
      <c r="F173" s="43">
        <f ca="1">INDIRECT(ADDRESS(D167+27,6,4,TRUE,"Van+Ute"))-F175</f>
        <v>79446.413023884728</v>
      </c>
      <c r="G173" s="43">
        <f ca="1">INDIRECT(ADDRESS($D167+27,7,4,TRUE,"Van+Ute"))-G175</f>
        <v>83044.270429304306</v>
      </c>
      <c r="H173" s="43">
        <f ca="1">INDIRECT(ADDRESS($D167+27,8,4,TRUE,"Van+Ute"))-H175</f>
        <v>86337.556500343228</v>
      </c>
      <c r="I173" s="43">
        <f ca="1">INDIRECT(ADDRESS(D167+27,9,4,TRUE,"Van+Ute"))-I175</f>
        <v>88621.336378389824</v>
      </c>
      <c r="J173" s="43">
        <f ca="1">INDIRECT(ADDRESS(D167+27,10,4,TRUE,"Van+Ute"))-J175</f>
        <v>100342.09686584699</v>
      </c>
      <c r="K173" s="43">
        <f ca="1">INDIRECT(ADDRESS(D167+27,11,4,TRUE,"Van+Ute"))-K175</f>
        <v>104858.17219264293</v>
      </c>
      <c r="L173" s="43">
        <f ca="1">INDIRECT(ADDRESS(D167+27,12,4,TRUE,"Van+Ute"))-L175</f>
        <v>108416.74609540791</v>
      </c>
      <c r="M173" s="43">
        <f ca="1">INDIRECT(ADDRESS(D167+27,13,4,TRUE,"Van+Ute"))-M175</f>
        <v>111455.19562005687</v>
      </c>
      <c r="N173" s="43">
        <f ca="1">INDIRECT(ADDRESS(D167+27,14,4,TRUE,"Van+Ute"))-N175</f>
        <v>114662.74999174362</v>
      </c>
      <c r="O173" s="43">
        <f ca="1">INDIRECT(ADDRESS(D167+27,15,4,TRUE,"Van+Ute"))-O175</f>
        <v>117340.28673591855</v>
      </c>
      <c r="P173" s="43">
        <f ca="1">INDIRECT(ADDRESS(D167+27,16,4,TRUE,"Van+Ute"))-P175</f>
        <v>119715.26984201399</v>
      </c>
      <c r="Q173" s="44">
        <f ca="1">INDIRECT(ADDRESS(D167+27,17,4,TRUE,"Van+Ute"))-Q175</f>
        <v>121545.51569019849</v>
      </c>
    </row>
    <row r="174" spans="3:17" ht="15.5" x14ac:dyDescent="0.35">
      <c r="C174" s="24" t="s">
        <v>115</v>
      </c>
      <c r="D174" s="42">
        <f ca="1">INDIRECT(ADDRESS(D167+150,4,4,TRUE,"Car+SUV"))</f>
        <v>913.23377288439372</v>
      </c>
      <c r="E174" s="43">
        <f ca="1">INDIRECT(ADDRESS(D167+150,5,4,TRUE,"Car+SUV"))</f>
        <v>938.2363911290322</v>
      </c>
      <c r="F174" s="43">
        <f ca="1">INDIRECT(ADDRESS(D167+150,6,4,TRUE,"Car+SUV"))</f>
        <v>991.23350612629599</v>
      </c>
      <c r="G174" s="43">
        <f ca="1">INDIRECT(ADDRESS($D167+150,7,4,TRUE,"Car+SUV"))</f>
        <v>1010.2048473785619</v>
      </c>
      <c r="H174" s="43">
        <f ca="1">INDIRECT(ADDRESS($D167+150,8,4,TRUE,"Car+SUV"))</f>
        <v>1099.2124081948202</v>
      </c>
      <c r="I174" s="43">
        <f ca="1">INDIRECT(ADDRESS(D167+150,9,4,TRUE,"Car+SUV"))</f>
        <v>2002.2475425038638</v>
      </c>
      <c r="J174" s="43">
        <f ca="1">INDIRECT(ADDRESS(D167+150,10,4,TRUE,"Car+SUV"))</f>
        <v>2388.2413779287454</v>
      </c>
      <c r="K174" s="43">
        <f ca="1">INDIRECT(ADDRESS(D167+150,11,4,TRUE,"Car+SUV"))</f>
        <v>21563.913239417088</v>
      </c>
      <c r="L174" s="43">
        <f ca="1">INDIRECT(ADDRESS(D167+150,12,4,TRUE,"Car+SUV"))</f>
        <v>42779.618243925266</v>
      </c>
      <c r="M174" s="43">
        <f ca="1">INDIRECT(ADDRESS(D167+150,13,4,TRUE,"Car+SUV"))</f>
        <v>65445.186231546599</v>
      </c>
      <c r="N174" s="43">
        <f ca="1">INDIRECT(ADDRESS(D167+150,14,4,TRUE,"Car+SUV"))</f>
        <v>89463.357175024619</v>
      </c>
      <c r="O174" s="43">
        <f ca="1">INDIRECT(ADDRESS(D167+150,15,4,TRUE,"Car+SUV"))</f>
        <v>114926.31118475586</v>
      </c>
      <c r="P174" s="43">
        <f ca="1">INDIRECT(ADDRESS(D167+150,16,4,TRUE,"Car+SUV"))</f>
        <v>141624.17421102026</v>
      </c>
      <c r="Q174" s="44">
        <f ca="1">INDIRECT(ADDRESS(D167+150,17,4,TRUE,"Car+SUV"))</f>
        <v>169554.0437190794</v>
      </c>
    </row>
    <row r="175" spans="3:17" ht="15.5" x14ac:dyDescent="0.35">
      <c r="C175" s="24" t="s">
        <v>116</v>
      </c>
      <c r="D175" s="42">
        <f ca="1">INDIRECT(ADDRESS(D167+150,4,4,TRUE,"Van+Ute"))</f>
        <v>372</v>
      </c>
      <c r="E175" s="43">
        <f ca="1">INDIRECT(ADDRESS(D167+150,5,4,TRUE,"Van+Ute"))</f>
        <v>331</v>
      </c>
      <c r="F175" s="43">
        <f ca="1">INDIRECT(ADDRESS(D167+150,6,4,TRUE,"Van+Ute"))</f>
        <v>343</v>
      </c>
      <c r="G175" s="43">
        <f ca="1">INDIRECT(ADDRESS($D167+150,7,4,TRUE,"Van+Ute"))</f>
        <v>357</v>
      </c>
      <c r="H175" s="43">
        <f ca="1">INDIRECT(ADDRESS($D167+150,8,4,TRUE,"Van+Ute"))</f>
        <v>397</v>
      </c>
      <c r="I175" s="43">
        <f ca="1">INDIRECT(ADDRESS(D167+150,9,4,TRUE,"Van+Ute"))</f>
        <v>456</v>
      </c>
      <c r="J175" s="43">
        <f ca="1">INDIRECT(ADDRESS(D167+150,10,4,TRUE,"Van+Ute"))</f>
        <v>543.90780621143222</v>
      </c>
      <c r="K175" s="43">
        <f ca="1">INDIRECT(ADDRESS(D167+150,11,4,TRUE,"Van+Ute"))</f>
        <v>3059.2594554018306</v>
      </c>
      <c r="L175" s="43">
        <f ca="1">INDIRECT(ADDRESS(D167+150,12,4,TRUE,"Van+Ute"))</f>
        <v>5838.2386174293542</v>
      </c>
      <c r="M175" s="43">
        <f ca="1">INDIRECT(ADDRESS(D167+150,13,4,TRUE,"Van+Ute"))</f>
        <v>8805.6332312912618</v>
      </c>
      <c r="N175" s="43">
        <f ca="1">INDIRECT(ADDRESS(D167+150,14,4,TRUE,"Van+Ute"))</f>
        <v>11951.609775813296</v>
      </c>
      <c r="O175" s="43">
        <f ca="1">INDIRECT(ADDRESS(D167+150,15,4,TRUE,"Van+Ute"))</f>
        <v>15282.775211032744</v>
      </c>
      <c r="P175" s="43">
        <f ca="1">INDIRECT(ADDRESS(D167+150,16,4,TRUE,"Van+Ute"))</f>
        <v>18777.253017046354</v>
      </c>
      <c r="Q175" s="44">
        <f ca="1">INDIRECT(ADDRESS(D167+150,17,4,TRUE,"Van+Ute"))</f>
        <v>22435.069558802723</v>
      </c>
    </row>
    <row r="176" spans="3:17" ht="15.5" x14ac:dyDescent="0.35">
      <c r="C176" s="24" t="s">
        <v>43</v>
      </c>
      <c r="D176" s="187" t="s">
        <v>108</v>
      </c>
      <c r="E176" s="188" t="s">
        <v>108</v>
      </c>
      <c r="F176" s="188" t="s">
        <v>108</v>
      </c>
      <c r="G176" s="188" t="s">
        <v>108</v>
      </c>
      <c r="H176" s="188" t="s">
        <v>108</v>
      </c>
      <c r="I176" s="188" t="s">
        <v>108</v>
      </c>
      <c r="J176" s="188" t="s">
        <v>108</v>
      </c>
      <c r="K176" s="188" t="s">
        <v>108</v>
      </c>
      <c r="L176" s="188" t="s">
        <v>108</v>
      </c>
      <c r="M176" s="188" t="s">
        <v>108</v>
      </c>
      <c r="N176" s="188" t="s">
        <v>108</v>
      </c>
      <c r="O176" s="188" t="s">
        <v>108</v>
      </c>
      <c r="P176" s="188" t="s">
        <v>108</v>
      </c>
      <c r="Q176" s="194" t="s">
        <v>108</v>
      </c>
    </row>
    <row r="177" spans="3:17" ht="15.5" x14ac:dyDescent="0.35">
      <c r="C177" s="24" t="s">
        <v>44</v>
      </c>
      <c r="D177" s="187" t="s">
        <v>108</v>
      </c>
      <c r="E177" s="188" t="s">
        <v>108</v>
      </c>
      <c r="F177" s="188" t="s">
        <v>108</v>
      </c>
      <c r="G177" s="188" t="s">
        <v>108</v>
      </c>
      <c r="H177" s="188" t="s">
        <v>108</v>
      </c>
      <c r="I177" s="188" t="s">
        <v>108</v>
      </c>
      <c r="J177" s="188" t="s">
        <v>108</v>
      </c>
      <c r="K177" s="188" t="s">
        <v>108</v>
      </c>
      <c r="L177" s="188" t="s">
        <v>108</v>
      </c>
      <c r="M177" s="188" t="s">
        <v>108</v>
      </c>
      <c r="N177" s="188" t="s">
        <v>108</v>
      </c>
      <c r="O177" s="188" t="s">
        <v>108</v>
      </c>
      <c r="P177" s="188" t="s">
        <v>108</v>
      </c>
      <c r="Q177" s="194" t="s">
        <v>108</v>
      </c>
    </row>
    <row r="178" spans="3:17" ht="16" thickBot="1" x14ac:dyDescent="0.4">
      <c r="C178" s="24" t="s">
        <v>42</v>
      </c>
      <c r="D178" s="42">
        <f ca="1">INDIRECT(ADDRESS(D167+27,4,4,TRUE,"Motorcycle"))</f>
        <v>24199.859859221295</v>
      </c>
      <c r="E178" s="43">
        <f ca="1">INDIRECT(ADDRESS(D167+27,5,4,TRUE,"Motorcycle"))</f>
        <v>25085.968491074083</v>
      </c>
      <c r="F178" s="43">
        <f ca="1">INDIRECT(ADDRESS(D167+27,6,4,TRUE,"Motorcycle"))</f>
        <v>26002.54490676762</v>
      </c>
      <c r="G178" s="43">
        <f ca="1">INDIRECT(ADDRESS($D167+27,7,4,TRUE,"Motorcycle"))</f>
        <v>26726.178248746532</v>
      </c>
      <c r="H178" s="43">
        <f ca="1">INDIRECT(ADDRESS($D167+27,8,4,TRUE,"Motorcycle"))</f>
        <v>27441.818788751723</v>
      </c>
      <c r="I178" s="43">
        <f ca="1">INDIRECT(ADDRESS(D167+27,9,4,TRUE,"Motorcycle"))</f>
        <v>28060.251162959074</v>
      </c>
      <c r="J178" s="43">
        <f ca="1">INDIRECT(ADDRESS(D167+27,10,4,TRUE,"Motorcycle"))</f>
        <v>30196.79573263686</v>
      </c>
      <c r="K178" s="43">
        <f ca="1">INDIRECT(ADDRESS(D167+27,11,4,TRUE,"Motorcycle"))</f>
        <v>31541.328730890658</v>
      </c>
      <c r="L178" s="43">
        <f ca="1">INDIRECT(ADDRESS(D167+27,12,4,TRUE,"Motorcycle"))</f>
        <v>32543.783741592775</v>
      </c>
      <c r="M178" s="43">
        <f ca="1">INDIRECT(ADDRESS(D167+27,13,4,TRUE,"Motorcycle"))</f>
        <v>32938.544454785406</v>
      </c>
      <c r="N178" s="43">
        <f ca="1">INDIRECT(ADDRESS(D167+27,14,4,TRUE,"Motorcycle"))</f>
        <v>33142.209550510495</v>
      </c>
      <c r="O178" s="43">
        <f ca="1">INDIRECT(ADDRESS(D167+27,15,4,TRUE,"Motorcycle"))</f>
        <v>34479.579477399267</v>
      </c>
      <c r="P178" s="43">
        <f ca="1">INDIRECT(ADDRESS(D167+27,16,4,TRUE,"Motorcycle"))</f>
        <v>35761.193760254297</v>
      </c>
      <c r="Q178" s="44">
        <f ca="1">INDIRECT(ADDRESS(D167+27,17,4,TRUE,"Motorcycle"))</f>
        <v>37015.179212349001</v>
      </c>
    </row>
    <row r="179" spans="3:17" ht="16.5" thickTop="1" thickBot="1" x14ac:dyDescent="0.4">
      <c r="C179" s="31" t="s">
        <v>45</v>
      </c>
      <c r="D179" s="189">
        <f ca="1">SUM(D172:D178)</f>
        <v>510978.7290778131</v>
      </c>
      <c r="E179" s="48">
        <f t="shared" ref="E179:N179" ca="1" si="22">SUM(E172:E178)</f>
        <v>527624.74709892797</v>
      </c>
      <c r="F179" s="48">
        <f t="shared" ca="1" si="22"/>
        <v>548175.74370440736</v>
      </c>
      <c r="G179" s="48">
        <f t="shared" ca="1" si="22"/>
        <v>566338.09479232272</v>
      </c>
      <c r="H179" s="48">
        <f t="shared" ca="1" si="22"/>
        <v>583462.26530619431</v>
      </c>
      <c r="I179" s="48">
        <f t="shared" ca="1" si="22"/>
        <v>588922.64782115968</v>
      </c>
      <c r="J179" s="48">
        <f t="shared" ca="1" si="22"/>
        <v>654875.8606821188</v>
      </c>
      <c r="K179" s="48">
        <f t="shared" ca="1" si="22"/>
        <v>677034.61300598853</v>
      </c>
      <c r="L179" s="48">
        <f t="shared" ca="1" si="22"/>
        <v>690836.59918624337</v>
      </c>
      <c r="M179" s="48">
        <f t="shared" ca="1" si="22"/>
        <v>696800.68778487574</v>
      </c>
      <c r="N179" s="48">
        <f t="shared" ca="1" si="22"/>
        <v>700084.1435511196</v>
      </c>
      <c r="O179" s="48">
        <f t="shared" ref="O179:Q179" ca="1" si="23">SUM(O172:O178)</f>
        <v>696418.11260619736</v>
      </c>
      <c r="P179" s="48">
        <f t="shared" ca="1" si="23"/>
        <v>689679.15727492352</v>
      </c>
      <c r="Q179" s="49">
        <f t="shared" ca="1" si="23"/>
        <v>679752.91063937545</v>
      </c>
    </row>
    <row r="180" spans="3:17" ht="13" thickTop="1" x14ac:dyDescent="0.25"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43"/>
    </row>
    <row r="181" spans="3:17" ht="13" thickBot="1" x14ac:dyDescent="0.3"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43"/>
    </row>
    <row r="182" spans="3:17" ht="16.5" thickTop="1" thickBot="1" x14ac:dyDescent="0.4">
      <c r="C182" s="180" t="str">
        <f ca="1">INDIRECT(ADDRESS(D182+27,3,4,TRUE,"Car+SUV"))</f>
        <v>Otago</v>
      </c>
      <c r="D182" s="190">
        <v>13</v>
      </c>
      <c r="E182" s="145" t="s">
        <v>170</v>
      </c>
      <c r="F182" s="145"/>
      <c r="G182" s="145"/>
      <c r="H182" s="145"/>
      <c r="I182" s="145"/>
      <c r="J182" s="145"/>
      <c r="K182" s="145"/>
      <c r="L182" s="145"/>
      <c r="M182" s="145"/>
      <c r="N182" s="43"/>
    </row>
    <row r="183" spans="3:17" ht="13.5" thickTop="1" thickBot="1" x14ac:dyDescent="0.3"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43"/>
    </row>
    <row r="184" spans="3:17" ht="16" thickTop="1" x14ac:dyDescent="0.35">
      <c r="C184" s="32" t="s">
        <v>46</v>
      </c>
      <c r="D184" s="183"/>
      <c r="E184" s="183"/>
      <c r="F184" s="183"/>
      <c r="G184" s="183"/>
      <c r="H184" s="183"/>
      <c r="I184" s="183"/>
      <c r="J184" s="40"/>
      <c r="K184" s="40"/>
      <c r="L184" s="40"/>
      <c r="M184" s="40"/>
      <c r="N184" s="40"/>
      <c r="O184" s="34"/>
      <c r="P184" s="34"/>
      <c r="Q184" s="35"/>
    </row>
    <row r="185" spans="3:17" ht="13.5" thickBot="1" x14ac:dyDescent="0.35">
      <c r="C185" s="36"/>
      <c r="D185" s="184" t="s">
        <v>25</v>
      </c>
      <c r="E185" s="184" t="s">
        <v>37</v>
      </c>
      <c r="F185" s="184" t="s">
        <v>38</v>
      </c>
      <c r="G185" s="37" t="s">
        <v>177</v>
      </c>
      <c r="H185" s="37" t="s">
        <v>178</v>
      </c>
      <c r="I185" s="184" t="s">
        <v>26</v>
      </c>
      <c r="J185" s="184" t="s">
        <v>27</v>
      </c>
      <c r="K185" s="184" t="s">
        <v>28</v>
      </c>
      <c r="L185" s="184" t="s">
        <v>29</v>
      </c>
      <c r="M185" s="184" t="s">
        <v>30</v>
      </c>
      <c r="N185" s="184" t="s">
        <v>31</v>
      </c>
      <c r="O185" s="37" t="s">
        <v>174</v>
      </c>
      <c r="P185" s="37" t="s">
        <v>175</v>
      </c>
      <c r="Q185" s="38" t="s">
        <v>176</v>
      </c>
    </row>
    <row r="186" spans="3:17" ht="14" thickTop="1" thickBot="1" x14ac:dyDescent="0.35">
      <c r="C186" s="70"/>
      <c r="D186" s="185" t="s">
        <v>39</v>
      </c>
      <c r="E186" s="186" t="s">
        <v>39</v>
      </c>
      <c r="F186" s="186" t="s">
        <v>39</v>
      </c>
      <c r="G186" s="65" t="s">
        <v>39</v>
      </c>
      <c r="H186" s="65" t="s">
        <v>39</v>
      </c>
      <c r="I186" s="186" t="s">
        <v>39</v>
      </c>
      <c r="J186" s="186" t="s">
        <v>32</v>
      </c>
      <c r="K186" s="186" t="s">
        <v>32</v>
      </c>
      <c r="L186" s="186" t="s">
        <v>32</v>
      </c>
      <c r="M186" s="186" t="s">
        <v>32</v>
      </c>
      <c r="N186" s="186" t="s">
        <v>32</v>
      </c>
      <c r="O186" s="65" t="s">
        <v>32</v>
      </c>
      <c r="P186" s="65" t="s">
        <v>32</v>
      </c>
      <c r="Q186" s="66" t="s">
        <v>32</v>
      </c>
    </row>
    <row r="187" spans="3:17" ht="16" thickTop="1" x14ac:dyDescent="0.35">
      <c r="C187" s="24" t="s">
        <v>113</v>
      </c>
      <c r="D187" s="42">
        <f ca="1">INDIRECT(ADDRESS(D182+27,4,4,TRUE,"Car+SUV"))-D189</f>
        <v>123576.50414600117</v>
      </c>
      <c r="E187" s="40">
        <f ca="1">INDIRECT(ADDRESS(D182+27,5,4,TRUE,"Car+SUV"))-E189</f>
        <v>126867.59645616708</v>
      </c>
      <c r="F187" s="40">
        <f ca="1">INDIRECT(ADDRESS(D182+27,6,4,TRUE,"Car+SUV"))-F189</f>
        <v>129896.83050056922</v>
      </c>
      <c r="G187" s="40">
        <f ca="1">INDIRECT(ADDRESS($D182+27,7,4,TRUE,"Car+SUV"))-G189</f>
        <v>135020.62379180276</v>
      </c>
      <c r="H187" s="40">
        <f ca="1">INDIRECT(ADDRESS($D182+27,8,4,TRUE,"Car+SUV"))-H189</f>
        <v>146445.75763955343</v>
      </c>
      <c r="I187" s="40">
        <f ca="1">INDIRECT(ADDRESS(D182+27,9,4,TRUE,"Car+SUV"))-I189</f>
        <v>219806.78248347819</v>
      </c>
      <c r="J187" s="40">
        <f ca="1">INDIRECT(ADDRESS(D182+27,10,4,TRUE,"Car+SUV"))-J189</f>
        <v>242891.2344898528</v>
      </c>
      <c r="K187" s="40">
        <f ca="1">INDIRECT(ADDRESS(D182+27,11,4,TRUE,"Car+SUV"))-K189</f>
        <v>239343.4088682853</v>
      </c>
      <c r="L187" s="40">
        <f ca="1">INDIRECT(ADDRESS(D182+27,12,4,TRUE,"Car+SUV"))-L189</f>
        <v>231218.00040110038</v>
      </c>
      <c r="M187" s="40">
        <f ca="1">INDIRECT(ADDRESS(D182+27,13,4,TRUE,"Car+SUV"))-M189</f>
        <v>219516.0914035977</v>
      </c>
      <c r="N187" s="40">
        <f ca="1">INDIRECT(ADDRESS(D182+27,14,4,TRUE,"Car+SUV"))-N189</f>
        <v>206015.32847897298</v>
      </c>
      <c r="O187" s="40">
        <f ca="1">INDIRECT(ADDRESS(D182+27,15,4,TRUE,"Car+SUV"))-O189</f>
        <v>188350.65038875357</v>
      </c>
      <c r="P187" s="40">
        <f ca="1">INDIRECT(ADDRESS(D182+27,16,4,TRUE,"Car+SUV"))-P189</f>
        <v>168974.31689923001</v>
      </c>
      <c r="Q187" s="41">
        <f ca="1">INDIRECT(ADDRESS(D182+27,17,4,TRUE,"Car+SUV"))-Q189</f>
        <v>147963.96164158374</v>
      </c>
    </row>
    <row r="188" spans="3:17" ht="15.5" x14ac:dyDescent="0.35">
      <c r="C188" s="24" t="s">
        <v>114</v>
      </c>
      <c r="D188" s="42">
        <f ca="1">INDIRECT(ADDRESS(D182+27,4,4,TRUE,"Van+Ute"))-D190</f>
        <v>22939.74952469812</v>
      </c>
      <c r="E188" s="43">
        <f ca="1">INDIRECT(ADDRESS(D182+27,5,4,TRUE,"Van+Ute"))-E190</f>
        <v>23946.935396700748</v>
      </c>
      <c r="F188" s="43">
        <f ca="1">INDIRECT(ADDRESS(D182+27,6,4,TRUE,"Van+Ute"))-F190</f>
        <v>25267.933385519427</v>
      </c>
      <c r="G188" s="43">
        <f ca="1">INDIRECT(ADDRESS($D182+27,7,4,TRUE,"Van+Ute"))-G190</f>
        <v>27042.377877397164</v>
      </c>
      <c r="H188" s="43">
        <f ca="1">INDIRECT(ADDRESS($D182+27,8,4,TRUE,"Van+Ute"))-H190</f>
        <v>29603.056171242435</v>
      </c>
      <c r="I188" s="43">
        <f ca="1">INDIRECT(ADDRESS(D182+27,9,4,TRUE,"Van+Ute"))-I190</f>
        <v>44037.225139851536</v>
      </c>
      <c r="J188" s="43">
        <f ca="1">INDIRECT(ADDRESS(D182+27,10,4,TRUE,"Van+Ute"))-J190</f>
        <v>49550.77435418297</v>
      </c>
      <c r="K188" s="43">
        <f ca="1">INDIRECT(ADDRESS(D182+27,11,4,TRUE,"Van+Ute"))-K190</f>
        <v>51218.973408739454</v>
      </c>
      <c r="L188" s="43">
        <f ca="1">INDIRECT(ADDRESS(D182+27,12,4,TRUE,"Van+Ute"))-L190</f>
        <v>52318.806793547221</v>
      </c>
      <c r="M188" s="43">
        <f ca="1">INDIRECT(ADDRESS(D182+27,13,4,TRUE,"Van+Ute"))-M190</f>
        <v>53107.309031746503</v>
      </c>
      <c r="N188" s="43">
        <f ca="1">INDIRECT(ADDRESS(D182+27,14,4,TRUE,"Van+Ute"))-N190</f>
        <v>53920.769686357336</v>
      </c>
      <c r="O188" s="43">
        <f ca="1">INDIRECT(ADDRESS(D182+27,15,4,TRUE,"Van+Ute"))-O190</f>
        <v>54382.12296314977</v>
      </c>
      <c r="P188" s="43">
        <f ca="1">INDIRECT(ADDRESS(D182+27,16,4,TRUE,"Van+Ute"))-P190</f>
        <v>54661.424669761051</v>
      </c>
      <c r="Q188" s="44">
        <f ca="1">INDIRECT(ADDRESS(D182+27,17,4,TRUE,"Van+Ute"))-Q190</f>
        <v>54661.21738587453</v>
      </c>
    </row>
    <row r="189" spans="3:17" ht="15.5" x14ac:dyDescent="0.35">
      <c r="C189" s="24" t="s">
        <v>115</v>
      </c>
      <c r="D189" s="42">
        <f ca="1">INDIRECT(ADDRESS(D182+150,4,4,TRUE,"Car+SUV"))</f>
        <v>478.1223914991678</v>
      </c>
      <c r="E189" s="43">
        <f ca="1">INDIRECT(ADDRESS(D182+150,5,4,TRUE,"Car+SUV"))</f>
        <v>486.12247983870969</v>
      </c>
      <c r="F189" s="43">
        <f ca="1">INDIRECT(ADDRESS(D182+150,6,4,TRUE,"Car+SUV"))</f>
        <v>502.11828463713482</v>
      </c>
      <c r="G189" s="43">
        <f ca="1">INDIRECT(ADDRESS($D182+150,7,4,TRUE,"Car+SUV"))</f>
        <v>515.10445188114795</v>
      </c>
      <c r="H189" s="43">
        <f ca="1">INDIRECT(ADDRESS($D182+150,8,4,TRUE,"Car+SUV"))</f>
        <v>573.11074603788165</v>
      </c>
      <c r="I189" s="43">
        <f ca="1">INDIRECT(ADDRESS(D182+150,9,4,TRUE,"Car+SUV"))</f>
        <v>698.08630602782068</v>
      </c>
      <c r="J189" s="43">
        <f ca="1">INDIRECT(ADDRESS(D182+150,10,4,TRUE,"Car+SUV"))</f>
        <v>832.01667787605959</v>
      </c>
      <c r="K189" s="43">
        <f ca="1">INDIRECT(ADDRESS(D182+150,11,4,TRUE,"Car+SUV"))</f>
        <v>8688.9841531292259</v>
      </c>
      <c r="L189" s="43">
        <f ca="1">INDIRECT(ADDRESS(D182+150,12,4,TRUE,"Car+SUV"))</f>
        <v>17316.80709430483</v>
      </c>
      <c r="M189" s="43">
        <f ca="1">INDIRECT(ADDRESS(D182+150,13,4,TRUE,"Car+SUV"))</f>
        <v>26455.26084777325</v>
      </c>
      <c r="N189" s="43">
        <f ca="1">INDIRECT(ADDRESS(D182+150,14,4,TRUE,"Car+SUV"))</f>
        <v>36071.837915638898</v>
      </c>
      <c r="O189" s="43">
        <f ca="1">INDIRECT(ADDRESS(D182+150,15,4,TRUE,"Car+SUV"))</f>
        <v>46164.637046365635</v>
      </c>
      <c r="P189" s="43">
        <f ca="1">INDIRECT(ADDRESS(D182+150,16,4,TRUE,"Car+SUV"))</f>
        <v>56653.476036053362</v>
      </c>
      <c r="Q189" s="44">
        <f ca="1">INDIRECT(ADDRESS(D182+150,17,4,TRUE,"Car+SUV"))</f>
        <v>67529.899126181583</v>
      </c>
    </row>
    <row r="190" spans="3:17" ht="15.5" x14ac:dyDescent="0.35">
      <c r="C190" s="24" t="s">
        <v>116</v>
      </c>
      <c r="D190" s="42">
        <f ca="1">INDIRECT(ADDRESS(D182+150,4,4,TRUE,"Van+Ute"))</f>
        <v>294</v>
      </c>
      <c r="E190" s="43">
        <f ca="1">INDIRECT(ADDRESS(D182+150,5,4,TRUE,"Van+Ute"))</f>
        <v>309</v>
      </c>
      <c r="F190" s="43">
        <f ca="1">INDIRECT(ADDRESS(D182+150,6,4,TRUE,"Van+Ute"))</f>
        <v>317</v>
      </c>
      <c r="G190" s="43">
        <f ca="1">INDIRECT(ADDRESS($D182+150,7,4,TRUE,"Van+Ute"))</f>
        <v>334</v>
      </c>
      <c r="H190" s="43">
        <f ca="1">INDIRECT(ADDRESS($D182+150,8,4,TRUE,"Van+Ute"))</f>
        <v>362</v>
      </c>
      <c r="I190" s="43">
        <f ca="1">INDIRECT(ADDRESS(D182+150,9,4,TRUE,"Van+Ute"))</f>
        <v>409</v>
      </c>
      <c r="J190" s="43">
        <f ca="1">INDIRECT(ADDRESS(D182+150,10,4,TRUE,"Van+Ute"))</f>
        <v>487.46812294259024</v>
      </c>
      <c r="K190" s="43">
        <f ca="1">INDIRECT(ADDRESS(D182+150,11,4,TRUE,"Van+Ute"))</f>
        <v>1890.2133165107339</v>
      </c>
      <c r="L190" s="43">
        <f ca="1">INDIRECT(ADDRESS(D182+150,12,4,TRUE,"Van+Ute"))</f>
        <v>3425.2164423322774</v>
      </c>
      <c r="M190" s="43">
        <f ca="1">INDIRECT(ADDRESS(D182+150,13,4,TRUE,"Van+Ute"))</f>
        <v>5049.0057939845719</v>
      </c>
      <c r="N190" s="43">
        <f ca="1">INDIRECT(ADDRESS(D182+150,14,4,TRUE,"Van+Ute"))</f>
        <v>6760.3246334017122</v>
      </c>
      <c r="O190" s="43">
        <f ca="1">INDIRECT(ADDRESS(D182+150,15,4,TRUE,"Van+Ute"))</f>
        <v>8550.6466712950078</v>
      </c>
      <c r="P190" s="43">
        <f ca="1">INDIRECT(ADDRESS(D182+150,16,4,TRUE,"Van+Ute"))</f>
        <v>10414.199857747193</v>
      </c>
      <c r="Q190" s="44">
        <f ca="1">INDIRECT(ADDRESS(D182+150,17,4,TRUE,"Van+Ute"))</f>
        <v>12350.133079197016</v>
      </c>
    </row>
    <row r="191" spans="3:17" ht="15.5" x14ac:dyDescent="0.35">
      <c r="C191" s="24" t="s">
        <v>43</v>
      </c>
      <c r="D191" s="187" t="s">
        <v>108</v>
      </c>
      <c r="E191" s="188" t="s">
        <v>108</v>
      </c>
      <c r="F191" s="188" t="s">
        <v>108</v>
      </c>
      <c r="G191" s="188" t="s">
        <v>108</v>
      </c>
      <c r="H191" s="188" t="s">
        <v>108</v>
      </c>
      <c r="I191" s="188" t="s">
        <v>108</v>
      </c>
      <c r="J191" s="188" t="s">
        <v>108</v>
      </c>
      <c r="K191" s="188" t="s">
        <v>108</v>
      </c>
      <c r="L191" s="188" t="s">
        <v>108</v>
      </c>
      <c r="M191" s="188" t="s">
        <v>108</v>
      </c>
      <c r="N191" s="188" t="s">
        <v>108</v>
      </c>
      <c r="O191" s="188" t="s">
        <v>108</v>
      </c>
      <c r="P191" s="188" t="s">
        <v>108</v>
      </c>
      <c r="Q191" s="194" t="s">
        <v>108</v>
      </c>
    </row>
    <row r="192" spans="3:17" ht="15.5" x14ac:dyDescent="0.35">
      <c r="C192" s="24" t="s">
        <v>44</v>
      </c>
      <c r="D192" s="187" t="s">
        <v>108</v>
      </c>
      <c r="E192" s="188" t="s">
        <v>108</v>
      </c>
      <c r="F192" s="188" t="s">
        <v>108</v>
      </c>
      <c r="G192" s="188" t="s">
        <v>108</v>
      </c>
      <c r="H192" s="188" t="s">
        <v>108</v>
      </c>
      <c r="I192" s="188" t="s">
        <v>108</v>
      </c>
      <c r="J192" s="188" t="s">
        <v>108</v>
      </c>
      <c r="K192" s="188" t="s">
        <v>108</v>
      </c>
      <c r="L192" s="188" t="s">
        <v>108</v>
      </c>
      <c r="M192" s="188" t="s">
        <v>108</v>
      </c>
      <c r="N192" s="188" t="s">
        <v>108</v>
      </c>
      <c r="O192" s="188" t="s">
        <v>108</v>
      </c>
      <c r="P192" s="188" t="s">
        <v>108</v>
      </c>
      <c r="Q192" s="194" t="s">
        <v>108</v>
      </c>
    </row>
    <row r="193" spans="3:17" ht="16" thickBot="1" x14ac:dyDescent="0.4">
      <c r="C193" s="24" t="s">
        <v>42</v>
      </c>
      <c r="D193" s="42">
        <f ca="1">INDIRECT(ADDRESS(D182+27,4,4,TRUE,"Motorcycle"))</f>
        <v>7395.3001950024282</v>
      </c>
      <c r="E193" s="43">
        <f ca="1">INDIRECT(ADDRESS(D182+27,5,4,TRUE,"Motorcycle"))</f>
        <v>7579.0599237196038</v>
      </c>
      <c r="F193" s="43">
        <f ca="1">INDIRECT(ADDRESS(D182+27,6,4,TRUE,"Motorcycle"))</f>
        <v>7749.7065816102649</v>
      </c>
      <c r="G193" s="43">
        <f ca="1">INDIRECT(ADDRESS($D182+27,7,4,TRUE,"Motorcycle"))</f>
        <v>7899.2482723300946</v>
      </c>
      <c r="H193" s="43">
        <f ca="1">INDIRECT(ADDRESS($D182+27,8,4,TRUE,"Motorcycle"))</f>
        <v>8210.7843379675705</v>
      </c>
      <c r="I193" s="43">
        <f ca="1">INDIRECT(ADDRESS(D182+27,9,4,TRUE,"Motorcycle"))</f>
        <v>9713.1638641012178</v>
      </c>
      <c r="J193" s="43">
        <f ca="1">INDIRECT(ADDRESS(D182+27,10,4,TRUE,"Motorcycle"))</f>
        <v>10424.716571828963</v>
      </c>
      <c r="K193" s="43">
        <f ca="1">INDIRECT(ADDRESS(D182+27,11,4,TRUE,"Motorcycle"))</f>
        <v>10835.110952343375</v>
      </c>
      <c r="L193" s="43">
        <f ca="1">INDIRECT(ADDRESS(D182+27,12,4,TRUE,"Motorcycle"))</f>
        <v>11127.503268211878</v>
      </c>
      <c r="M193" s="43">
        <f ca="1">INDIRECT(ADDRESS(D182+27,13,4,TRUE,"Motorcycle"))</f>
        <v>11205.884567977193</v>
      </c>
      <c r="N193" s="43">
        <f ca="1">INDIRECT(ADDRESS(D182+27,14,4,TRUE,"Motorcycle"))</f>
        <v>11222.161915573748</v>
      </c>
      <c r="O193" s="43">
        <f ca="1">INDIRECT(ADDRESS(D182+27,15,4,TRUE,"Motorcycle"))</f>
        <v>11619.524085657251</v>
      </c>
      <c r="P193" s="43">
        <f ca="1">INDIRECT(ADDRESS(D182+27,16,4,TRUE,"Motorcycle"))</f>
        <v>11993.63554156447</v>
      </c>
      <c r="Q193" s="44">
        <f ca="1">INDIRECT(ADDRESS(D182+27,17,4,TRUE,"Motorcycle"))</f>
        <v>12354.221115057948</v>
      </c>
    </row>
    <row r="194" spans="3:17" ht="16.5" thickTop="1" thickBot="1" x14ac:dyDescent="0.4">
      <c r="C194" s="31" t="s">
        <v>45</v>
      </c>
      <c r="D194" s="189">
        <f ca="1">SUM(D187:D193)</f>
        <v>154683.67625720089</v>
      </c>
      <c r="E194" s="48">
        <f t="shared" ref="E194:N194" ca="1" si="24">SUM(E187:E193)</f>
        <v>159188.71425642614</v>
      </c>
      <c r="F194" s="48">
        <f t="shared" ca="1" si="24"/>
        <v>163733.58875233604</v>
      </c>
      <c r="G194" s="48">
        <f t="shared" ca="1" si="24"/>
        <v>170811.35439341117</v>
      </c>
      <c r="H194" s="48">
        <f t="shared" ca="1" si="24"/>
        <v>185194.70889480133</v>
      </c>
      <c r="I194" s="48">
        <f t="shared" ca="1" si="24"/>
        <v>274664.25779345882</v>
      </c>
      <c r="J194" s="48">
        <f t="shared" ca="1" si="24"/>
        <v>304186.21021668345</v>
      </c>
      <c r="K194" s="48">
        <f t="shared" ca="1" si="24"/>
        <v>311976.69069900806</v>
      </c>
      <c r="L194" s="48">
        <f t="shared" ca="1" si="24"/>
        <v>315406.33399949659</v>
      </c>
      <c r="M194" s="48">
        <f t="shared" ca="1" si="24"/>
        <v>315333.55164507922</v>
      </c>
      <c r="N194" s="48">
        <f t="shared" ca="1" si="24"/>
        <v>313990.42262994463</v>
      </c>
      <c r="O194" s="48">
        <f t="shared" ref="O194:Q194" ca="1" si="25">SUM(O187:O193)</f>
        <v>309067.58115522121</v>
      </c>
      <c r="P194" s="48">
        <f t="shared" ca="1" si="25"/>
        <v>302697.0530043561</v>
      </c>
      <c r="Q194" s="49">
        <f t="shared" ca="1" si="25"/>
        <v>294859.43234789482</v>
      </c>
    </row>
    <row r="195" spans="3:17" ht="13" thickTop="1" x14ac:dyDescent="0.25"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43"/>
    </row>
    <row r="196" spans="3:17" ht="13" thickBot="1" x14ac:dyDescent="0.3"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43"/>
    </row>
    <row r="197" spans="3:17" ht="16.5" thickTop="1" thickBot="1" x14ac:dyDescent="0.4">
      <c r="C197" s="180" t="str">
        <f ca="1">INDIRECT(ADDRESS(D197+27,3,4,TRUE,"Car+SUV"))</f>
        <v>Southland</v>
      </c>
      <c r="D197" s="190">
        <v>14</v>
      </c>
      <c r="E197" s="145" t="s">
        <v>170</v>
      </c>
      <c r="F197" s="145"/>
      <c r="G197" s="145"/>
      <c r="H197" s="145"/>
      <c r="I197" s="145"/>
      <c r="J197" s="145"/>
      <c r="K197" s="145"/>
      <c r="L197" s="145"/>
      <c r="M197" s="145"/>
      <c r="N197" s="43"/>
    </row>
    <row r="198" spans="3:17" ht="13.5" thickTop="1" thickBot="1" x14ac:dyDescent="0.3"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43"/>
    </row>
    <row r="199" spans="3:17" ht="16" thickTop="1" x14ac:dyDescent="0.35">
      <c r="C199" s="32" t="s">
        <v>46</v>
      </c>
      <c r="D199" s="183"/>
      <c r="E199" s="183"/>
      <c r="F199" s="183"/>
      <c r="G199" s="183"/>
      <c r="H199" s="183"/>
      <c r="I199" s="183"/>
      <c r="J199" s="40"/>
      <c r="K199" s="40"/>
      <c r="L199" s="40"/>
      <c r="M199" s="40"/>
      <c r="N199" s="40"/>
      <c r="O199" s="34"/>
      <c r="P199" s="34"/>
      <c r="Q199" s="35"/>
    </row>
    <row r="200" spans="3:17" ht="13.5" thickBot="1" x14ac:dyDescent="0.35">
      <c r="C200" s="36"/>
      <c r="D200" s="184" t="s">
        <v>25</v>
      </c>
      <c r="E200" s="184" t="s">
        <v>37</v>
      </c>
      <c r="F200" s="184" t="s">
        <v>38</v>
      </c>
      <c r="G200" s="37" t="s">
        <v>177</v>
      </c>
      <c r="H200" s="37" t="s">
        <v>178</v>
      </c>
      <c r="I200" s="184" t="s">
        <v>26</v>
      </c>
      <c r="J200" s="184" t="s">
        <v>27</v>
      </c>
      <c r="K200" s="184" t="s">
        <v>28</v>
      </c>
      <c r="L200" s="184" t="s">
        <v>29</v>
      </c>
      <c r="M200" s="184" t="s">
        <v>30</v>
      </c>
      <c r="N200" s="184" t="s">
        <v>31</v>
      </c>
      <c r="O200" s="37" t="s">
        <v>174</v>
      </c>
      <c r="P200" s="37" t="s">
        <v>175</v>
      </c>
      <c r="Q200" s="38" t="s">
        <v>176</v>
      </c>
    </row>
    <row r="201" spans="3:17" ht="14" thickTop="1" thickBot="1" x14ac:dyDescent="0.35">
      <c r="C201" s="70"/>
      <c r="D201" s="185" t="s">
        <v>39</v>
      </c>
      <c r="E201" s="186" t="s">
        <v>39</v>
      </c>
      <c r="F201" s="186" t="s">
        <v>39</v>
      </c>
      <c r="G201" s="65" t="s">
        <v>39</v>
      </c>
      <c r="H201" s="65" t="s">
        <v>39</v>
      </c>
      <c r="I201" s="186" t="s">
        <v>39</v>
      </c>
      <c r="J201" s="186" t="s">
        <v>32</v>
      </c>
      <c r="K201" s="186" t="s">
        <v>32</v>
      </c>
      <c r="L201" s="186" t="s">
        <v>32</v>
      </c>
      <c r="M201" s="186" t="s">
        <v>32</v>
      </c>
      <c r="N201" s="186" t="s">
        <v>32</v>
      </c>
      <c r="O201" s="65" t="s">
        <v>32</v>
      </c>
      <c r="P201" s="65" t="s">
        <v>32</v>
      </c>
      <c r="Q201" s="66" t="s">
        <v>32</v>
      </c>
    </row>
    <row r="202" spans="3:17" ht="16" thickTop="1" x14ac:dyDescent="0.35">
      <c r="C202" s="24" t="s">
        <v>113</v>
      </c>
      <c r="D202" s="42">
        <f ca="1">INDIRECT(ADDRESS(D197+27,4,4,TRUE,"Car+SUV"))-D204</f>
        <v>66062.979998525843</v>
      </c>
      <c r="E202" s="40">
        <f ca="1">INDIRECT(ADDRESS(D197+27,5,4,TRUE,"Car+SUV"))-E204</f>
        <v>66860.777086321366</v>
      </c>
      <c r="F202" s="40">
        <f ca="1">INDIRECT(ADDRESS(D197+27,6,4,TRUE,"Car+SUV"))-F204</f>
        <v>67824.880252061717</v>
      </c>
      <c r="G202" s="40">
        <f ca="1">INDIRECT(ADDRESS($D197+27,7,4,TRUE,"Car+SUV"))-G204</f>
        <v>69555.806070257429</v>
      </c>
      <c r="H202" s="40">
        <f ca="1">INDIRECT(ADDRESS($D197+27,8,4,TRUE,"Car+SUV"))-H204</f>
        <v>71040.540901198256</v>
      </c>
      <c r="I202" s="40">
        <f ca="1">INDIRECT(ADDRESS(D197+27,9,4,TRUE,"Car+SUV"))-I204</f>
        <v>71104.853138149454</v>
      </c>
      <c r="J202" s="40">
        <f ca="1">INDIRECT(ADDRESS(D197+27,10,4,TRUE,"Car+SUV"))-J204</f>
        <v>73730.547119599592</v>
      </c>
      <c r="K202" s="40">
        <f ca="1">INDIRECT(ADDRESS(D197+27,11,4,TRUE,"Car+SUV"))-K204</f>
        <v>68951.876626552534</v>
      </c>
      <c r="L202" s="40">
        <f ca="1">INDIRECT(ADDRESS(D197+27,12,4,TRUE,"Car+SUV"))-L204</f>
        <v>63500.531942885609</v>
      </c>
      <c r="M202" s="40">
        <f ca="1">INDIRECT(ADDRESS(D197+27,13,4,TRUE,"Car+SUV"))-M204</f>
        <v>57313.655147315665</v>
      </c>
      <c r="N202" s="40">
        <f ca="1">INDIRECT(ADDRESS(D197+27,14,4,TRUE,"Car+SUV"))-N204</f>
        <v>51029.866841109004</v>
      </c>
      <c r="O202" s="40">
        <f ca="1">INDIRECT(ADDRESS(D197+27,15,4,TRUE,"Car+SUV"))-O204</f>
        <v>43974.171495425922</v>
      </c>
      <c r="P202" s="40">
        <f ca="1">INDIRECT(ADDRESS(D197+27,16,4,TRUE,"Car+SUV"))-P204</f>
        <v>36982.301200022135</v>
      </c>
      <c r="Q202" s="41">
        <f ca="1">INDIRECT(ADDRESS(D197+27,17,4,TRUE,"Car+SUV"))-Q204</f>
        <v>30112.262865499793</v>
      </c>
    </row>
    <row r="203" spans="3:17" ht="15.5" x14ac:dyDescent="0.35">
      <c r="C203" s="24" t="s">
        <v>114</v>
      </c>
      <c r="D203" s="42">
        <f ca="1">INDIRECT(ADDRESS(D197+27,4,4,TRUE,"Van+Ute"))-D205</f>
        <v>16355.620907436845</v>
      </c>
      <c r="E203" s="43">
        <f ca="1">INDIRECT(ADDRESS(D197+27,5,4,TRUE,"Van+Ute"))-E205</f>
        <v>17087.204694011823</v>
      </c>
      <c r="F203" s="43">
        <f ca="1">INDIRECT(ADDRESS(D197+27,6,4,TRUE,"Van+Ute"))-F205</f>
        <v>17848.994069210927</v>
      </c>
      <c r="G203" s="43">
        <f ca="1">INDIRECT(ADDRESS($D197+27,7,4,TRUE,"Van+Ute"))-G205</f>
        <v>18753.189571819312</v>
      </c>
      <c r="H203" s="43">
        <f ca="1">INDIRECT(ADDRESS($D197+27,8,4,TRUE,"Van+Ute"))-H205</f>
        <v>19679.222380020292</v>
      </c>
      <c r="I203" s="43">
        <f ca="1">INDIRECT(ADDRESS(D197+27,9,4,TRUE,"Van+Ute"))-I205</f>
        <v>20436.174241066881</v>
      </c>
      <c r="J203" s="43">
        <f ca="1">INDIRECT(ADDRESS(D197+27,10,4,TRUE,"Van+Ute"))-J205</f>
        <v>21527.896310794975</v>
      </c>
      <c r="K203" s="43">
        <f ca="1">INDIRECT(ADDRESS(D197+27,11,4,TRUE,"Van+Ute"))-K205</f>
        <v>21020.340901550007</v>
      </c>
      <c r="L203" s="43">
        <f ca="1">INDIRECT(ADDRESS(D197+27,12,4,TRUE,"Van+Ute"))-L205</f>
        <v>20348.144416956933</v>
      </c>
      <c r="M203" s="43">
        <f ca="1">INDIRECT(ADDRESS(D197+27,13,4,TRUE,"Van+Ute"))-M205</f>
        <v>19535.477393922858</v>
      </c>
      <c r="N203" s="43">
        <f ca="1">INDIRECT(ADDRESS(D197+27,14,4,TRUE,"Van+Ute"))-N205</f>
        <v>18737.810607038671</v>
      </c>
      <c r="O203" s="43">
        <f ca="1">INDIRECT(ADDRESS(D197+27,15,4,TRUE,"Van+Ute"))-O205</f>
        <v>17787.538993499918</v>
      </c>
      <c r="P203" s="43">
        <f ca="1">INDIRECT(ADDRESS(D197+27,16,4,TRUE,"Van+Ute"))-P205</f>
        <v>16808.106597484857</v>
      </c>
      <c r="Q203" s="44">
        <f ca="1">INDIRECT(ADDRESS(D197+27,17,4,TRUE,"Van+Ute"))-Q205</f>
        <v>15783.833360507166</v>
      </c>
    </row>
    <row r="204" spans="3:17" ht="15.5" x14ac:dyDescent="0.35">
      <c r="C204" s="24" t="s">
        <v>115</v>
      </c>
      <c r="D204" s="42">
        <f ca="1">INDIRECT(ADDRESS(D197+150,4,4,TRUE,"Car+SUV"))</f>
        <v>96.024580719498147</v>
      </c>
      <c r="E204" s="43">
        <f ca="1">INDIRECT(ADDRESS(D197+150,5,4,TRUE,"Car+SUV"))</f>
        <v>95.023941532258064</v>
      </c>
      <c r="F204" s="43">
        <f ca="1">INDIRECT(ADDRESS(D197+150,6,4,TRUE,"Car+SUV"))</f>
        <v>97.022855796418483</v>
      </c>
      <c r="G204" s="43">
        <f ca="1">INDIRECT(ADDRESS($D197+150,7,4,TRUE,"Car+SUV"))</f>
        <v>101.02048473785619</v>
      </c>
      <c r="H204" s="43">
        <f ca="1">INDIRECT(ADDRESS($D197+150,8,4,TRUE,"Car+SUV"))</f>
        <v>100.01932740626206</v>
      </c>
      <c r="I204" s="43">
        <f ca="1">INDIRECT(ADDRESS(D197+150,9,4,TRUE,"Car+SUV"))</f>
        <v>110.01360123647603</v>
      </c>
      <c r="J204" s="43">
        <f ca="1">INDIRECT(ADDRESS(D197+150,10,4,TRUE,"Car+SUV"))</f>
        <v>125.65122914478648</v>
      </c>
      <c r="K204" s="43">
        <f ca="1">INDIRECT(ADDRESS(D197+150,11,4,TRUE,"Car+SUV"))</f>
        <v>2743.9462848571525</v>
      </c>
      <c r="L204" s="43">
        <f ca="1">INDIRECT(ADDRESS(D197+150,12,4,TRUE,"Car+SUV"))</f>
        <v>5391.1379843513359</v>
      </c>
      <c r="M204" s="43">
        <f ca="1">INDIRECT(ADDRESS(D197+150,13,4,TRUE,"Car+SUV"))</f>
        <v>7977.1218649931561</v>
      </c>
      <c r="N204" s="43">
        <f ca="1">INDIRECT(ADDRESS(D197+150,14,4,TRUE,"Car+SUV"))</f>
        <v>10486.235463658009</v>
      </c>
      <c r="O204" s="43">
        <f ca="1">INDIRECT(ADDRESS(D197+150,15,4,TRUE,"Car+SUV"))</f>
        <v>12911.433011100702</v>
      </c>
      <c r="P204" s="43">
        <f ca="1">INDIRECT(ADDRESS(D197+150,16,4,TRUE,"Car+SUV"))</f>
        <v>15226.961879512415</v>
      </c>
      <c r="Q204" s="44">
        <f ca="1">INDIRECT(ADDRESS(D197+150,17,4,TRUE,"Car+SUV"))</f>
        <v>17430.900989063481</v>
      </c>
    </row>
    <row r="205" spans="3:17" ht="15.5" x14ac:dyDescent="0.35">
      <c r="C205" s="24" t="s">
        <v>116</v>
      </c>
      <c r="D205" s="42">
        <f ca="1">INDIRECT(ADDRESS(D197+150,4,4,TRUE,"Van+Ute"))</f>
        <v>98</v>
      </c>
      <c r="E205" s="43">
        <f ca="1">INDIRECT(ADDRESS(D197+150,5,4,TRUE,"Van+Ute"))</f>
        <v>95</v>
      </c>
      <c r="F205" s="43">
        <f ca="1">INDIRECT(ADDRESS(D197+150,6,4,TRUE,"Van+Ute"))</f>
        <v>91</v>
      </c>
      <c r="G205" s="43">
        <f ca="1">INDIRECT(ADDRESS($D197+150,7,4,TRUE,"Van+Ute"))</f>
        <v>97</v>
      </c>
      <c r="H205" s="43">
        <f ca="1">INDIRECT(ADDRESS($D197+150,8,4,TRUE,"Van+Ute"))</f>
        <v>94</v>
      </c>
      <c r="I205" s="43">
        <f ca="1">INDIRECT(ADDRESS(D197+150,9,4,TRUE,"Van+Ute"))</f>
        <v>92</v>
      </c>
      <c r="J205" s="43">
        <f ca="1">INDIRECT(ADDRESS(D197+150,10,4,TRUE,"Van+Ute"))</f>
        <v>105.07712638614687</v>
      </c>
      <c r="K205" s="43">
        <f ca="1">INDIRECT(ADDRESS(D197+150,11,4,TRUE,"Van+Ute"))</f>
        <v>807.36633312080119</v>
      </c>
      <c r="L205" s="43">
        <f ca="1">INDIRECT(ADDRESS(D197+150,12,4,TRUE,"Van+Ute"))</f>
        <v>1516.9389531691622</v>
      </c>
      <c r="M205" s="43">
        <f ca="1">INDIRECT(ADDRESS(D197+150,13,4,TRUE,"Van+Ute"))</f>
        <v>2210.3017003551467</v>
      </c>
      <c r="N205" s="43">
        <f ca="1">INDIRECT(ADDRESS(D197+150,14,4,TRUE,"Van+Ute"))</f>
        <v>2884.1162977137583</v>
      </c>
      <c r="O205" s="43">
        <f ca="1">INDIRECT(ADDRESS(D197+150,15,4,TRUE,"Van+Ute"))</f>
        <v>3535.1869214920639</v>
      </c>
      <c r="P205" s="43">
        <f ca="1">INDIRECT(ADDRESS(D197+150,16,4,TRUE,"Van+Ute"))</f>
        <v>4158.1356573569647</v>
      </c>
      <c r="Q205" s="44">
        <f ca="1">INDIRECT(ADDRESS(D197+150,17,4,TRUE,"Van+Ute"))</f>
        <v>4752.6187444307016</v>
      </c>
    </row>
    <row r="206" spans="3:17" ht="15.5" x14ac:dyDescent="0.35">
      <c r="C206" s="24" t="s">
        <v>43</v>
      </c>
      <c r="D206" s="187" t="s">
        <v>108</v>
      </c>
      <c r="E206" s="188" t="s">
        <v>108</v>
      </c>
      <c r="F206" s="188" t="s">
        <v>108</v>
      </c>
      <c r="G206" s="188" t="s">
        <v>108</v>
      </c>
      <c r="H206" s="188" t="s">
        <v>108</v>
      </c>
      <c r="I206" s="188" t="s">
        <v>108</v>
      </c>
      <c r="J206" s="188" t="s">
        <v>108</v>
      </c>
      <c r="K206" s="188" t="s">
        <v>108</v>
      </c>
      <c r="L206" s="188" t="s">
        <v>108</v>
      </c>
      <c r="M206" s="188" t="s">
        <v>108</v>
      </c>
      <c r="N206" s="188" t="s">
        <v>108</v>
      </c>
      <c r="O206" s="188" t="s">
        <v>108</v>
      </c>
      <c r="P206" s="188" t="s">
        <v>108</v>
      </c>
      <c r="Q206" s="194" t="s">
        <v>108</v>
      </c>
    </row>
    <row r="207" spans="3:17" ht="15.5" x14ac:dyDescent="0.35">
      <c r="C207" s="24" t="s">
        <v>44</v>
      </c>
      <c r="D207" s="187" t="s">
        <v>108</v>
      </c>
      <c r="E207" s="188" t="s">
        <v>108</v>
      </c>
      <c r="F207" s="188" t="s">
        <v>108</v>
      </c>
      <c r="G207" s="188" t="s">
        <v>108</v>
      </c>
      <c r="H207" s="188" t="s">
        <v>108</v>
      </c>
      <c r="I207" s="188" t="s">
        <v>108</v>
      </c>
      <c r="J207" s="188" t="s">
        <v>108</v>
      </c>
      <c r="K207" s="188" t="s">
        <v>108</v>
      </c>
      <c r="L207" s="188" t="s">
        <v>108</v>
      </c>
      <c r="M207" s="188" t="s">
        <v>108</v>
      </c>
      <c r="N207" s="188" t="s">
        <v>108</v>
      </c>
      <c r="O207" s="188" t="s">
        <v>108</v>
      </c>
      <c r="P207" s="188" t="s">
        <v>108</v>
      </c>
      <c r="Q207" s="194" t="s">
        <v>108</v>
      </c>
    </row>
    <row r="208" spans="3:17" ht="16" thickBot="1" x14ac:dyDescent="0.4">
      <c r="C208" s="24" t="s">
        <v>42</v>
      </c>
      <c r="D208" s="42">
        <f ca="1">INDIRECT(ADDRESS(D197+27,4,4,TRUE,"Motorcycle"))</f>
        <v>4130.1817654606475</v>
      </c>
      <c r="E208" s="43">
        <f ca="1">INDIRECT(ADDRESS(D197+27,5,4,TRUE,"Motorcycle"))</f>
        <v>4152.5432797801568</v>
      </c>
      <c r="F208" s="43">
        <f ca="1">INDIRECT(ADDRESS(D197+27,6,4,TRUE,"Motorcycle"))</f>
        <v>4212.1934596516967</v>
      </c>
      <c r="G208" s="43">
        <f ca="1">INDIRECT(ADDRESS($D197+27,7,4,TRUE,"Motorcycle"))</f>
        <v>4294.5009199486603</v>
      </c>
      <c r="H208" s="43">
        <f ca="1">INDIRECT(ADDRESS($D197+27,8,4,TRUE,"Motorcycle"))</f>
        <v>4447.7220323057236</v>
      </c>
      <c r="I208" s="43">
        <f ca="1">INDIRECT(ADDRESS(D197+27,9,4,TRUE,"Motorcycle"))</f>
        <v>4529.066772856444</v>
      </c>
      <c r="J208" s="43">
        <f ca="1">INDIRECT(ADDRESS(D197+27,10,4,TRUE,"Motorcycle"))</f>
        <v>4567.5514942100581</v>
      </c>
      <c r="K208" s="43">
        <f ca="1">INDIRECT(ADDRESS(D197+27,11,4,TRUE,"Motorcycle"))</f>
        <v>4537.6102389777325</v>
      </c>
      <c r="L208" s="43">
        <f ca="1">INDIRECT(ADDRESS(D197+27,12,4,TRUE,"Motorcycle"))</f>
        <v>4462.4057474433048</v>
      </c>
      <c r="M208" s="43">
        <f ca="1">INDIRECT(ADDRESS(D197+27,13,4,TRUE,"Motorcycle"))</f>
        <v>4307.7252175731874</v>
      </c>
      <c r="N208" s="43">
        <f ca="1">INDIRECT(ADDRESS(D197+27,14,4,TRUE,"Motorcycle"))</f>
        <v>4136.9524326415867</v>
      </c>
      <c r="O208" s="43">
        <f ca="1">INDIRECT(ADDRESS(D197+27,15,4,TRUE,"Motorcycle"))</f>
        <v>4107.5209292324753</v>
      </c>
      <c r="P208" s="43">
        <f ca="1">INDIRECT(ADDRESS(D197+27,16,4,TRUE,"Motorcycle"))</f>
        <v>4065.4879646611143</v>
      </c>
      <c r="Q208" s="44">
        <f ca="1">INDIRECT(ADDRESS(D197+27,17,4,TRUE,"Motorcycle"))</f>
        <v>4015.3947403163252</v>
      </c>
    </row>
    <row r="209" spans="3:17" ht="16.5" thickTop="1" thickBot="1" x14ac:dyDescent="0.4">
      <c r="C209" s="31" t="s">
        <v>45</v>
      </c>
      <c r="D209" s="189">
        <f ca="1">SUM(D202:D208)</f>
        <v>86742.80725214284</v>
      </c>
      <c r="E209" s="48">
        <f t="shared" ref="E209:N209" ca="1" si="26">SUM(E202:E208)</f>
        <v>88290.549001645602</v>
      </c>
      <c r="F209" s="48">
        <f t="shared" ca="1" si="26"/>
        <v>90074.09063672075</v>
      </c>
      <c r="G209" s="48">
        <f t="shared" ca="1" si="26"/>
        <v>92801.517046763271</v>
      </c>
      <c r="H209" s="48">
        <f t="shared" ca="1" si="26"/>
        <v>95361.504640930536</v>
      </c>
      <c r="I209" s="48">
        <f t="shared" ca="1" si="26"/>
        <v>96272.107753309261</v>
      </c>
      <c r="J209" s="48">
        <f t="shared" ca="1" si="26"/>
        <v>100056.72328013557</v>
      </c>
      <c r="K209" s="48">
        <f t="shared" ca="1" si="26"/>
        <v>98061.140385058243</v>
      </c>
      <c r="L209" s="48">
        <f t="shared" ca="1" si="26"/>
        <v>95219.159044806351</v>
      </c>
      <c r="M209" s="48">
        <f t="shared" ca="1" si="26"/>
        <v>91344.281324160009</v>
      </c>
      <c r="N209" s="48">
        <f t="shared" ca="1" si="26"/>
        <v>87274.98164216103</v>
      </c>
      <c r="O209" s="48">
        <f t="shared" ref="O209:Q209" ca="1" si="27">SUM(O202:O208)</f>
        <v>82315.85135075108</v>
      </c>
      <c r="P209" s="48">
        <f t="shared" ca="1" si="27"/>
        <v>77240.99329903748</v>
      </c>
      <c r="Q209" s="49">
        <f t="shared" ca="1" si="27"/>
        <v>72095.01069981746</v>
      </c>
    </row>
    <row r="210" spans="3:17" ht="13" thickTop="1" x14ac:dyDescent="0.25"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43"/>
    </row>
    <row r="211" spans="3:17" ht="13" thickBot="1" x14ac:dyDescent="0.3"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43"/>
    </row>
    <row r="212" spans="3:17" ht="16.5" thickTop="1" thickBot="1" x14ac:dyDescent="0.4">
      <c r="C212" s="180" t="s">
        <v>171</v>
      </c>
      <c r="D212" s="190"/>
      <c r="E212" s="145"/>
      <c r="F212" s="145"/>
      <c r="G212" s="145"/>
      <c r="H212" s="145"/>
      <c r="I212" s="145"/>
      <c r="J212" s="145"/>
      <c r="K212" s="145"/>
      <c r="L212" s="145"/>
      <c r="M212" s="145"/>
      <c r="N212" s="43"/>
    </row>
    <row r="213" spans="3:17" ht="13.5" thickTop="1" thickBot="1" x14ac:dyDescent="0.3"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43"/>
    </row>
    <row r="214" spans="3:17" ht="16" thickTop="1" x14ac:dyDescent="0.35">
      <c r="C214" s="32" t="s">
        <v>46</v>
      </c>
      <c r="D214" s="183"/>
      <c r="E214" s="183"/>
      <c r="F214" s="183"/>
      <c r="G214" s="183"/>
      <c r="H214" s="183"/>
      <c r="I214" s="183"/>
      <c r="J214" s="40"/>
      <c r="K214" s="40"/>
      <c r="L214" s="40"/>
      <c r="M214" s="40"/>
      <c r="N214" s="40"/>
      <c r="O214" s="34"/>
      <c r="P214" s="34"/>
      <c r="Q214" s="35"/>
    </row>
    <row r="215" spans="3:17" ht="13.5" thickBot="1" x14ac:dyDescent="0.35">
      <c r="C215" s="36"/>
      <c r="D215" s="184" t="s">
        <v>25</v>
      </c>
      <c r="E215" s="184" t="s">
        <v>37</v>
      </c>
      <c r="F215" s="184" t="s">
        <v>38</v>
      </c>
      <c r="G215" s="37" t="s">
        <v>177</v>
      </c>
      <c r="H215" s="37" t="s">
        <v>178</v>
      </c>
      <c r="I215" s="184" t="s">
        <v>26</v>
      </c>
      <c r="J215" s="184" t="s">
        <v>27</v>
      </c>
      <c r="K215" s="184" t="s">
        <v>28</v>
      </c>
      <c r="L215" s="184" t="s">
        <v>29</v>
      </c>
      <c r="M215" s="184" t="s">
        <v>30</v>
      </c>
      <c r="N215" s="184" t="s">
        <v>31</v>
      </c>
      <c r="O215" s="37" t="s">
        <v>174</v>
      </c>
      <c r="P215" s="37" t="s">
        <v>175</v>
      </c>
      <c r="Q215" s="38" t="s">
        <v>176</v>
      </c>
    </row>
    <row r="216" spans="3:17" ht="14" thickTop="1" thickBot="1" x14ac:dyDescent="0.35">
      <c r="C216" s="70"/>
      <c r="D216" s="185" t="s">
        <v>39</v>
      </c>
      <c r="E216" s="186" t="s">
        <v>39</v>
      </c>
      <c r="F216" s="186" t="s">
        <v>39</v>
      </c>
      <c r="G216" s="65" t="s">
        <v>39</v>
      </c>
      <c r="H216" s="65" t="s">
        <v>39</v>
      </c>
      <c r="I216" s="186" t="s">
        <v>39</v>
      </c>
      <c r="J216" s="186" t="s">
        <v>32</v>
      </c>
      <c r="K216" s="186" t="s">
        <v>32</v>
      </c>
      <c r="L216" s="186" t="s">
        <v>32</v>
      </c>
      <c r="M216" s="186" t="s">
        <v>32</v>
      </c>
      <c r="N216" s="186" t="s">
        <v>32</v>
      </c>
      <c r="O216" s="65" t="s">
        <v>32</v>
      </c>
      <c r="P216" s="65" t="s">
        <v>32</v>
      </c>
      <c r="Q216" s="66" t="s">
        <v>32</v>
      </c>
    </row>
    <row r="217" spans="3:17" ht="16" thickTop="1" x14ac:dyDescent="0.35">
      <c r="C217" s="24" t="s">
        <v>113</v>
      </c>
      <c r="D217" s="42">
        <f ca="1">D7+D22+D37+D52+D67+D82+D97+D112+D127+D142+D157+D172+D187+D202</f>
        <v>2754243.9999999995</v>
      </c>
      <c r="E217" s="40">
        <f t="shared" ref="E217:N217" ca="1" si="28">E7+E22+E37+E52+E67+E82+E97+E112+E127+E142+E157+E172+E187+E202</f>
        <v>2825307</v>
      </c>
      <c r="F217" s="40">
        <f t="shared" ca="1" si="28"/>
        <v>2922021.9999999995</v>
      </c>
      <c r="G217" s="40">
        <f t="shared" ref="G217:H217" ca="1" si="29">G7+G22+G37+G52+G67+G82+G97+G112+G127+G142+G157+G172+G187+G202</f>
        <v>3028799</v>
      </c>
      <c r="H217" s="40">
        <f t="shared" ca="1" si="29"/>
        <v>3144784</v>
      </c>
      <c r="I217" s="40">
        <f t="shared" ca="1" si="28"/>
        <v>3240052.9999999995</v>
      </c>
      <c r="J217" s="40">
        <f t="shared" ca="1" si="28"/>
        <v>3541660.570221168</v>
      </c>
      <c r="K217" s="40">
        <f t="shared" ca="1" si="28"/>
        <v>3460923.3239706219</v>
      </c>
      <c r="L217" s="40">
        <f t="shared" ca="1" si="28"/>
        <v>3323557.4685090021</v>
      </c>
      <c r="M217" s="40">
        <f t="shared" ca="1" si="28"/>
        <v>3135993.8881757353</v>
      </c>
      <c r="N217" s="40">
        <f t="shared" ca="1" si="28"/>
        <v>2926089.0274922717</v>
      </c>
      <c r="O217" s="40">
        <f t="shared" ref="O217:Q217" ca="1" si="30">O7+O22+O37+O52+O67+O82+O97+O112+O127+O142+O157+O172+O187+O202</f>
        <v>2658040.933514229</v>
      </c>
      <c r="P217" s="40">
        <f t="shared" ca="1" si="30"/>
        <v>2369432.4321665009</v>
      </c>
      <c r="Q217" s="41">
        <f t="shared" ca="1" si="30"/>
        <v>2061522.0725332203</v>
      </c>
    </row>
    <row r="218" spans="3:17" ht="15.5" x14ac:dyDescent="0.35">
      <c r="C218" s="24" t="s">
        <v>114</v>
      </c>
      <c r="D218" s="42">
        <f t="shared" ref="D218:N223" ca="1" si="31">D8+D23+D38+D53+D68+D83+D98+D113+D128+D143+D158+D173+D188+D203</f>
        <v>435330</v>
      </c>
      <c r="E218" s="43">
        <f t="shared" ca="1" si="31"/>
        <v>458186.00000000006</v>
      </c>
      <c r="F218" s="43">
        <f t="shared" ca="1" si="31"/>
        <v>486009</v>
      </c>
      <c r="G218" s="43">
        <f t="shared" ref="G218:H218" ca="1" si="32">G8+G23+G38+G53+G68+G83+G98+G113+G128+G143+G158+G173+G188+G203</f>
        <v>519100.00000000012</v>
      </c>
      <c r="H218" s="43">
        <f t="shared" ca="1" si="32"/>
        <v>559842.99999999988</v>
      </c>
      <c r="I218" s="43">
        <f t="shared" ca="1" si="31"/>
        <v>599533</v>
      </c>
      <c r="J218" s="43">
        <f t="shared" ca="1" si="31"/>
        <v>665272.49369872827</v>
      </c>
      <c r="K218" s="43">
        <f t="shared" ca="1" si="31"/>
        <v>681964.69069165434</v>
      </c>
      <c r="L218" s="43">
        <f t="shared" ca="1" si="31"/>
        <v>692261.24848289101</v>
      </c>
      <c r="M218" s="43">
        <f t="shared" ca="1" si="31"/>
        <v>698655.02690923738</v>
      </c>
      <c r="N218" s="43">
        <f t="shared" ca="1" si="31"/>
        <v>705857.15664135735</v>
      </c>
      <c r="O218" s="43">
        <f t="shared" ref="O218:Q218" ca="1" si="33">O8+O23+O38+O53+O68+O83+O98+O113+O128+O143+O158+O173+O188+O203</f>
        <v>708680.00699970953</v>
      </c>
      <c r="P218" s="43">
        <f t="shared" ca="1" si="33"/>
        <v>709661.55506075663</v>
      </c>
      <c r="Q218" s="44">
        <f t="shared" ca="1" si="33"/>
        <v>707556.6098632291</v>
      </c>
    </row>
    <row r="219" spans="3:17" ht="15.5" x14ac:dyDescent="0.35">
      <c r="C219" s="24" t="s">
        <v>115</v>
      </c>
      <c r="D219" s="42">
        <f t="shared" ca="1" si="31"/>
        <v>7813</v>
      </c>
      <c r="E219" s="43">
        <f t="shared" ca="1" si="31"/>
        <v>7938.0000000000009</v>
      </c>
      <c r="F219" s="43">
        <f t="shared" ca="1" si="31"/>
        <v>8490</v>
      </c>
      <c r="G219" s="43">
        <f t="shared" ref="G219:H219" ca="1" si="34">G9+G24+G39+G54+G69+G84+G99+G114+G129+G144+G159+G174+G189+G204</f>
        <v>9863</v>
      </c>
      <c r="H219" s="43">
        <f t="shared" ca="1" si="34"/>
        <v>10350</v>
      </c>
      <c r="I219" s="43">
        <f t="shared" ca="1" si="31"/>
        <v>16177.000000000002</v>
      </c>
      <c r="J219" s="43">
        <f t="shared" ca="1" si="31"/>
        <v>19222.029457053046</v>
      </c>
      <c r="K219" s="43">
        <f t="shared" ca="1" si="31"/>
        <v>137993.58203355185</v>
      </c>
      <c r="L219" s="43">
        <f t="shared" ca="1" si="31"/>
        <v>266416.51580295863</v>
      </c>
      <c r="M219" s="43">
        <f t="shared" ca="1" si="31"/>
        <v>400608.59323674731</v>
      </c>
      <c r="N219" s="43">
        <f t="shared" ca="1" si="31"/>
        <v>539920.56522309675</v>
      </c>
      <c r="O219" s="43">
        <f t="shared" ref="O219:Q219" ca="1" si="35">O9+O24+O39+O54+O69+O84+O99+O114+O129+O144+O159+O174+O189+O204</f>
        <v>684197.81321829662</v>
      </c>
      <c r="P219" s="43">
        <f t="shared" ca="1" si="35"/>
        <v>832361.26965150493</v>
      </c>
      <c r="Q219" s="44">
        <f t="shared" ca="1" si="35"/>
        <v>984207.94065092073</v>
      </c>
    </row>
    <row r="220" spans="3:17" ht="15.5" x14ac:dyDescent="0.35">
      <c r="C220" s="24" t="s">
        <v>116</v>
      </c>
      <c r="D220" s="42">
        <f t="shared" ca="1" si="31"/>
        <v>2433</v>
      </c>
      <c r="E220" s="43">
        <f t="shared" ca="1" si="31"/>
        <v>2426</v>
      </c>
      <c r="F220" s="43">
        <f t="shared" ca="1" si="31"/>
        <v>2514</v>
      </c>
      <c r="G220" s="43">
        <f t="shared" ref="G220:H220" ca="1" si="36">G10+G25+G40+G55+G70+G85+G100+G115+G130+G145+G160+G175+G190+G205</f>
        <v>2607</v>
      </c>
      <c r="H220" s="43">
        <f t="shared" ca="1" si="36"/>
        <v>2927</v>
      </c>
      <c r="I220" s="43">
        <f t="shared" ca="1" si="31"/>
        <v>3118</v>
      </c>
      <c r="J220" s="43">
        <f t="shared" ca="1" si="31"/>
        <v>3684.1526173841207</v>
      </c>
      <c r="K220" s="43">
        <f t="shared" ca="1" si="31"/>
        <v>22059.88050164485</v>
      </c>
      <c r="L220" s="43">
        <f t="shared" ca="1" si="31"/>
        <v>41773.831110664636</v>
      </c>
      <c r="M220" s="43">
        <f t="shared" ca="1" si="31"/>
        <v>62222.394123656355</v>
      </c>
      <c r="N220" s="43">
        <f t="shared" ca="1" si="31"/>
        <v>83309.433165682029</v>
      </c>
      <c r="O220" s="43">
        <f t="shared" ref="O220:Q220" ca="1" si="37">O10+O25+O40+O55+O70+O85+O100+O115+O130+O145+O160+O175+O190+O205</f>
        <v>104982.51710320626</v>
      </c>
      <c r="P220" s="43">
        <f t="shared" ca="1" si="37"/>
        <v>127100.59230208119</v>
      </c>
      <c r="Q220" s="44">
        <f t="shared" ca="1" si="37"/>
        <v>149639.1207767842</v>
      </c>
    </row>
    <row r="221" spans="3:17" ht="15.5" x14ac:dyDescent="0.35">
      <c r="C221" s="24" t="s">
        <v>43</v>
      </c>
      <c r="D221" s="42">
        <f ca="1">INDIRECT(ADDRESS(28,4,4,TRUE,"Heavy Truck"))</f>
        <v>143848</v>
      </c>
      <c r="E221" s="43">
        <f ca="1">INDIRECT(ADDRESS(28,5,4,TRUE,"Heavy Truck"))</f>
        <v>150083</v>
      </c>
      <c r="F221" s="43">
        <f ca="1">INDIRECT(ADDRESS(28,6,4,TRUE,"Heavy Truck"))</f>
        <v>157513</v>
      </c>
      <c r="G221" s="43">
        <f ca="1">INDIRECT(ADDRESS(28,7,4,TRUE,"Heavy Truck"))</f>
        <v>164004</v>
      </c>
      <c r="H221" s="43">
        <f ca="1">INDIRECT(ADDRESS(28,8,4,TRUE,"Heavy Truck"))</f>
        <v>170042</v>
      </c>
      <c r="I221" s="43">
        <f ca="1">INDIRECT(ADDRESS(28,9,4,TRUE,"Heavy Truck"))</f>
        <v>177675</v>
      </c>
      <c r="J221" s="43">
        <f ca="1">INDIRECT(ADDRESS(28,10,4,TRUE,"Heavy Truck"))</f>
        <v>194175.82432404711</v>
      </c>
      <c r="K221" s="43">
        <f ca="1">INDIRECT(ADDRESS(28,11,4,TRUE,"Heavy Truck"))</f>
        <v>200406.79214120549</v>
      </c>
      <c r="L221" s="43">
        <f ca="1">INDIRECT(ADDRESS(28,12,4,TRUE,"Heavy Truck"))</f>
        <v>206213.0429854604</v>
      </c>
      <c r="M221" s="43">
        <f ca="1">INDIRECT(ADDRESS(28,13,4,TRUE,"Heavy Truck"))</f>
        <v>206645.83715083936</v>
      </c>
      <c r="N221" s="43">
        <f ca="1">INDIRECT(ADDRESS(28,14,4,TRUE,"Heavy Truck"))</f>
        <v>206932.22280215978</v>
      </c>
      <c r="O221" s="43">
        <f ca="1">INDIRECT(ADDRESS(28,15,4,TRUE,"Heavy Truck"))</f>
        <v>208158.64420048069</v>
      </c>
      <c r="P221" s="43">
        <f ca="1">INDIRECT(ADDRESS(28,16,4,TRUE,"Heavy Truck"))</f>
        <v>209199.127810768</v>
      </c>
      <c r="Q221" s="44">
        <f ca="1">INDIRECT(ADDRESS(28,17,4,TRUE,"Heavy Truck"))</f>
        <v>210062.08872781586</v>
      </c>
    </row>
    <row r="222" spans="3:17" ht="15.5" x14ac:dyDescent="0.35">
      <c r="C222" s="24" t="s">
        <v>44</v>
      </c>
      <c r="D222" s="42">
        <f ca="1">INDIRECT(ADDRESS(28,4,4,TRUE,"Heavy Bus"))</f>
        <v>8974</v>
      </c>
      <c r="E222" s="43">
        <f ca="1">INDIRECT(ADDRESS(28,5,4,TRUE,"Heavy Bus"))</f>
        <v>9253</v>
      </c>
      <c r="F222" s="43">
        <f ca="1">INDIRECT(ADDRESS(28,6,4,TRUE,"Heavy Bus"))</f>
        <v>9440</v>
      </c>
      <c r="G222" s="43">
        <f ca="1">INDIRECT(ADDRESS(28,7,4,TRUE,"Heavy Bus"))</f>
        <v>9791</v>
      </c>
      <c r="H222" s="43">
        <f ca="1">INDIRECT(ADDRESS(28,8,4,TRUE,"Heavy Bus"))</f>
        <v>10339</v>
      </c>
      <c r="I222" s="43">
        <f ca="1">INDIRECT(ADDRESS(28,9,4,TRUE,"Heavy Bus"))</f>
        <v>10953</v>
      </c>
      <c r="J222" s="43">
        <f ca="1">INDIRECT(ADDRESS(28,10,4,TRUE,"Heavy Bus"))</f>
        <v>13258.047053892367</v>
      </c>
      <c r="K222" s="43">
        <f ca="1">INDIRECT(ADDRESS(28,11,4,TRUE,"Heavy Bus"))</f>
        <v>15215.203919635012</v>
      </c>
      <c r="L222" s="43">
        <f ca="1">INDIRECT(ADDRESS(28,12,4,TRUE,"Heavy Bus"))</f>
        <v>16761.922072046862</v>
      </c>
      <c r="M222" s="43">
        <f ca="1">INDIRECT(ADDRESS(28,13,4,TRUE,"Heavy Bus"))</f>
        <v>18494.218733369715</v>
      </c>
      <c r="N222" s="43">
        <f ca="1">INDIRECT(ADDRESS(28,14,4,TRUE,"Heavy Bus"))</f>
        <v>20432.080973167649</v>
      </c>
      <c r="O222" s="43">
        <f ca="1">INDIRECT(ADDRESS(28,15,4,TRUE,"Heavy Bus"))</f>
        <v>22909.814722984549</v>
      </c>
      <c r="P222" s="43">
        <f ca="1">INDIRECT(ADDRESS(28,16,4,TRUE,"Heavy Bus"))</f>
        <v>25731.116415883473</v>
      </c>
      <c r="Q222" s="44">
        <f ca="1">INDIRECT(ADDRESS(28,17,4,TRUE,"Heavy Bus"))</f>
        <v>28965.111251481965</v>
      </c>
    </row>
    <row r="223" spans="3:17" ht="16" thickBot="1" x14ac:dyDescent="0.4">
      <c r="C223" s="24" t="s">
        <v>42</v>
      </c>
      <c r="D223" s="42">
        <f t="shared" ca="1" si="31"/>
        <v>143948.00000000003</v>
      </c>
      <c r="E223" s="43">
        <f t="shared" ca="1" si="31"/>
        <v>148565</v>
      </c>
      <c r="F223" s="43">
        <f t="shared" ca="1" si="31"/>
        <v>154673.00000000003</v>
      </c>
      <c r="G223" s="43">
        <f t="shared" ref="G223:H223" ca="1" si="38">G13+G28+G43+G58+G73+G88+G103+G118+G133+G148+G163+G178+G193+G208</f>
        <v>160194</v>
      </c>
      <c r="H223" s="43">
        <f t="shared" ca="1" si="38"/>
        <v>166050</v>
      </c>
      <c r="I223" s="43">
        <f t="shared" ca="1" si="31"/>
        <v>172326</v>
      </c>
      <c r="J223" s="43">
        <f t="shared" ca="1" si="31"/>
        <v>182236.43982781417</v>
      </c>
      <c r="K223" s="43">
        <f t="shared" ca="1" si="31"/>
        <v>187923.00817539691</v>
      </c>
      <c r="L223" s="43">
        <f t="shared" ca="1" si="31"/>
        <v>191531.01559157323</v>
      </c>
      <c r="M223" s="43">
        <f t="shared" ca="1" si="31"/>
        <v>191502.10051140265</v>
      </c>
      <c r="N223" s="43">
        <f t="shared" ca="1" si="31"/>
        <v>190395.53957127186</v>
      </c>
      <c r="O223" s="43">
        <f t="shared" ref="O223:Q223" ca="1" si="39">O13+O28+O43+O58+O73+O88+O103+O118+O133+O148+O163+O178+O193+O208</f>
        <v>195772.8344696977</v>
      </c>
      <c r="P223" s="43">
        <f t="shared" ca="1" si="39"/>
        <v>200736.59300066423</v>
      </c>
      <c r="Q223" s="44">
        <f t="shared" ca="1" si="39"/>
        <v>205459.97581089893</v>
      </c>
    </row>
    <row r="224" spans="3:17" ht="16.5" thickTop="1" thickBot="1" x14ac:dyDescent="0.4">
      <c r="C224" s="31" t="s">
        <v>45</v>
      </c>
      <c r="D224" s="189">
        <f ca="1">SUM(D217:D223)</f>
        <v>3496589.9999999995</v>
      </c>
      <c r="E224" s="48">
        <f t="shared" ref="E224:N224" ca="1" si="40">SUM(E217:E223)</f>
        <v>3601758</v>
      </c>
      <c r="F224" s="48">
        <f t="shared" ca="1" si="40"/>
        <v>3740660.9999999995</v>
      </c>
      <c r="G224" s="48">
        <f t="shared" ref="G224:H224" ca="1" si="41">SUM(G217:G223)</f>
        <v>3894358</v>
      </c>
      <c r="H224" s="48">
        <f t="shared" ca="1" si="41"/>
        <v>4064335</v>
      </c>
      <c r="I224" s="48">
        <f t="shared" ca="1" si="40"/>
        <v>4219835</v>
      </c>
      <c r="J224" s="48">
        <f t="shared" ca="1" si="40"/>
        <v>4619509.5572000863</v>
      </c>
      <c r="K224" s="48">
        <f t="shared" ca="1" si="40"/>
        <v>4706486.481433711</v>
      </c>
      <c r="L224" s="48">
        <f t="shared" ca="1" si="40"/>
        <v>4738515.0445545968</v>
      </c>
      <c r="M224" s="48">
        <f t="shared" ca="1" si="40"/>
        <v>4714122.0588409882</v>
      </c>
      <c r="N224" s="48">
        <f t="shared" ca="1" si="40"/>
        <v>4672936.0258690082</v>
      </c>
      <c r="O224" s="48">
        <f t="shared" ref="O224:Q224" ca="1" si="42">SUM(O217:O223)</f>
        <v>4582742.5642286036</v>
      </c>
      <c r="P224" s="48">
        <f t="shared" ca="1" si="42"/>
        <v>4474222.6864081593</v>
      </c>
      <c r="Q224" s="49">
        <f t="shared" ca="1" si="42"/>
        <v>4347412.9196143504</v>
      </c>
    </row>
    <row r="225" spans="3:17" ht="13" thickTop="1" x14ac:dyDescent="0.25"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43"/>
    </row>
    <row r="226" spans="3:17" x14ac:dyDescent="0.25"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43"/>
    </row>
    <row r="227" spans="3:17" ht="15.5" x14ac:dyDescent="0.35">
      <c r="C227" s="180" t="s">
        <v>172</v>
      </c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43"/>
    </row>
    <row r="228" spans="3:17" ht="13" thickBot="1" x14ac:dyDescent="0.3"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43"/>
    </row>
    <row r="229" spans="3:17" ht="16" thickTop="1" x14ac:dyDescent="0.35">
      <c r="C229" s="32" t="s">
        <v>46</v>
      </c>
      <c r="D229" s="183"/>
      <c r="E229" s="183"/>
      <c r="F229" s="183"/>
      <c r="G229" s="183"/>
      <c r="H229" s="183"/>
      <c r="I229" s="183"/>
      <c r="J229" s="40"/>
      <c r="K229" s="40"/>
      <c r="L229" s="40"/>
      <c r="M229" s="40"/>
      <c r="N229" s="40"/>
      <c r="O229" s="34"/>
      <c r="P229" s="34"/>
      <c r="Q229" s="35"/>
    </row>
    <row r="230" spans="3:17" ht="13.5" thickBot="1" x14ac:dyDescent="0.35">
      <c r="C230" s="36"/>
      <c r="D230" s="184" t="s">
        <v>25</v>
      </c>
      <c r="E230" s="184" t="s">
        <v>37</v>
      </c>
      <c r="F230" s="184" t="s">
        <v>38</v>
      </c>
      <c r="G230" s="37" t="s">
        <v>177</v>
      </c>
      <c r="H230" s="37" t="s">
        <v>178</v>
      </c>
      <c r="I230" s="184" t="s">
        <v>26</v>
      </c>
      <c r="J230" s="184" t="s">
        <v>27</v>
      </c>
      <c r="K230" s="184" t="s">
        <v>28</v>
      </c>
      <c r="L230" s="184" t="s">
        <v>29</v>
      </c>
      <c r="M230" s="184" t="s">
        <v>30</v>
      </c>
      <c r="N230" s="184" t="s">
        <v>31</v>
      </c>
      <c r="O230" s="37" t="s">
        <v>174</v>
      </c>
      <c r="P230" s="37" t="s">
        <v>175</v>
      </c>
      <c r="Q230" s="38" t="s">
        <v>176</v>
      </c>
    </row>
    <row r="231" spans="3:17" ht="14" thickTop="1" thickBot="1" x14ac:dyDescent="0.35">
      <c r="C231" s="70"/>
      <c r="D231" s="185" t="s">
        <v>39</v>
      </c>
      <c r="E231" s="186" t="s">
        <v>39</v>
      </c>
      <c r="F231" s="186" t="s">
        <v>39</v>
      </c>
      <c r="G231" s="65" t="s">
        <v>39</v>
      </c>
      <c r="H231" s="65" t="s">
        <v>39</v>
      </c>
      <c r="I231" s="186" t="s">
        <v>39</v>
      </c>
      <c r="J231" s="186" t="s">
        <v>32</v>
      </c>
      <c r="K231" s="186" t="s">
        <v>32</v>
      </c>
      <c r="L231" s="186" t="s">
        <v>32</v>
      </c>
      <c r="M231" s="186" t="s">
        <v>32</v>
      </c>
      <c r="N231" s="186" t="s">
        <v>32</v>
      </c>
      <c r="O231" s="65" t="s">
        <v>32</v>
      </c>
      <c r="P231" s="65" t="s">
        <v>32</v>
      </c>
      <c r="Q231" s="66" t="s">
        <v>32</v>
      </c>
    </row>
    <row r="232" spans="3:17" ht="16" thickTop="1" x14ac:dyDescent="0.35">
      <c r="C232" s="24" t="s">
        <v>113</v>
      </c>
      <c r="D232" s="42">
        <f ca="1">Summary!D20-'Regional Vehicle Summary'!D217</f>
        <v>0</v>
      </c>
      <c r="E232" s="40">
        <f ca="1">Summary!E20-'Regional Vehicle Summary'!E217</f>
        <v>0</v>
      </c>
      <c r="F232" s="40">
        <f ca="1">Summary!F20-'Regional Vehicle Summary'!F217</f>
        <v>0</v>
      </c>
      <c r="G232" s="40">
        <f ca="1">Summary!G20-'Regional Vehicle Summary'!G217</f>
        <v>0</v>
      </c>
      <c r="H232" s="40">
        <f ca="1">Summary!H20-'Regional Vehicle Summary'!H217</f>
        <v>0</v>
      </c>
      <c r="I232" s="40">
        <f ca="1">Summary!I20-'Regional Vehicle Summary'!I217</f>
        <v>0</v>
      </c>
      <c r="J232" s="40">
        <f ca="1">Summary!J20-'Regional Vehicle Summary'!J217</f>
        <v>0</v>
      </c>
      <c r="K232" s="40">
        <f ca="1">Summary!K20-'Regional Vehicle Summary'!K217</f>
        <v>0</v>
      </c>
      <c r="L232" s="40">
        <f ca="1">Summary!L20-'Regional Vehicle Summary'!L217</f>
        <v>0</v>
      </c>
      <c r="M232" s="40">
        <f ca="1">Summary!M20-'Regional Vehicle Summary'!M217</f>
        <v>0</v>
      </c>
      <c r="N232" s="40">
        <f ca="1">Summary!N20-'Regional Vehicle Summary'!N217</f>
        <v>0</v>
      </c>
      <c r="O232" s="40">
        <f ca="1">Summary!O20-'Regional Vehicle Summary'!O217</f>
        <v>0</v>
      </c>
      <c r="P232" s="40">
        <f ca="1">Summary!P20-'Regional Vehicle Summary'!P217</f>
        <v>0</v>
      </c>
      <c r="Q232" s="41">
        <f ca="1">Summary!Q20-'Regional Vehicle Summary'!Q217</f>
        <v>0</v>
      </c>
    </row>
    <row r="233" spans="3:17" ht="15.5" x14ac:dyDescent="0.35">
      <c r="C233" s="24" t="s">
        <v>114</v>
      </c>
      <c r="D233" s="42">
        <f ca="1">Summary!D21-'Regional Vehicle Summary'!D218</f>
        <v>0</v>
      </c>
      <c r="E233" s="43">
        <f ca="1">Summary!E21-'Regional Vehicle Summary'!E218</f>
        <v>0</v>
      </c>
      <c r="F233" s="43">
        <f ca="1">Summary!F21-'Regional Vehicle Summary'!F218</f>
        <v>0</v>
      </c>
      <c r="G233" s="43">
        <f ca="1">Summary!G21-'Regional Vehicle Summary'!G218</f>
        <v>0</v>
      </c>
      <c r="H233" s="43">
        <f ca="1">Summary!H21-'Regional Vehicle Summary'!H218</f>
        <v>0</v>
      </c>
      <c r="I233" s="43">
        <f ca="1">Summary!I21-'Regional Vehicle Summary'!I218</f>
        <v>0</v>
      </c>
      <c r="J233" s="43">
        <f ca="1">Summary!J21-'Regional Vehicle Summary'!J218</f>
        <v>0</v>
      </c>
      <c r="K233" s="43">
        <f ca="1">Summary!K21-'Regional Vehicle Summary'!K218</f>
        <v>0</v>
      </c>
      <c r="L233" s="43">
        <f ca="1">Summary!L21-'Regional Vehicle Summary'!L218</f>
        <v>0</v>
      </c>
      <c r="M233" s="43">
        <f ca="1">Summary!M21-'Regional Vehicle Summary'!M218</f>
        <v>0</v>
      </c>
      <c r="N233" s="43">
        <f ca="1">Summary!N21-'Regional Vehicle Summary'!N218</f>
        <v>0</v>
      </c>
      <c r="O233" s="43">
        <f ca="1">Summary!O21-'Regional Vehicle Summary'!O218</f>
        <v>0</v>
      </c>
      <c r="P233" s="43">
        <f ca="1">Summary!P21-'Regional Vehicle Summary'!P218</f>
        <v>0</v>
      </c>
      <c r="Q233" s="44">
        <f ca="1">Summary!Q21-'Regional Vehicle Summary'!Q218</f>
        <v>0</v>
      </c>
    </row>
    <row r="234" spans="3:17" ht="15.5" x14ac:dyDescent="0.35">
      <c r="C234" s="24" t="s">
        <v>115</v>
      </c>
      <c r="D234" s="42">
        <f ca="1">Summary!D22-'Regional Vehicle Summary'!D219</f>
        <v>0</v>
      </c>
      <c r="E234" s="43">
        <f ca="1">Summary!E22-'Regional Vehicle Summary'!E219</f>
        <v>0</v>
      </c>
      <c r="F234" s="43">
        <f ca="1">Summary!F22-'Regional Vehicle Summary'!F219</f>
        <v>0</v>
      </c>
      <c r="G234" s="43">
        <f ca="1">Summary!G22-'Regional Vehicle Summary'!G219</f>
        <v>0</v>
      </c>
      <c r="H234" s="43">
        <f ca="1">Summary!H22-'Regional Vehicle Summary'!H219</f>
        <v>0</v>
      </c>
      <c r="I234" s="43">
        <f ca="1">Summary!I22-'Regional Vehicle Summary'!I219</f>
        <v>0</v>
      </c>
      <c r="J234" s="43">
        <f ca="1">Summary!J22-'Regional Vehicle Summary'!J219</f>
        <v>0</v>
      </c>
      <c r="K234" s="43">
        <f ca="1">Summary!K22-'Regional Vehicle Summary'!K219</f>
        <v>0</v>
      </c>
      <c r="L234" s="43">
        <f ca="1">Summary!L22-'Regional Vehicle Summary'!L219</f>
        <v>0</v>
      </c>
      <c r="M234" s="43">
        <f ca="1">Summary!M22-'Regional Vehicle Summary'!M219</f>
        <v>0</v>
      </c>
      <c r="N234" s="43">
        <f ca="1">Summary!N22-'Regional Vehicle Summary'!N219</f>
        <v>0</v>
      </c>
      <c r="O234" s="43">
        <f ca="1">Summary!O22-'Regional Vehicle Summary'!O219</f>
        <v>0</v>
      </c>
      <c r="P234" s="43">
        <f ca="1">Summary!P22-'Regional Vehicle Summary'!P219</f>
        <v>0</v>
      </c>
      <c r="Q234" s="44">
        <f ca="1">Summary!Q22-'Regional Vehicle Summary'!Q219</f>
        <v>0</v>
      </c>
    </row>
    <row r="235" spans="3:17" ht="15.5" x14ac:dyDescent="0.35">
      <c r="C235" s="24" t="s">
        <v>116</v>
      </c>
      <c r="D235" s="42">
        <f ca="1">Summary!D23-'Regional Vehicle Summary'!D220</f>
        <v>0</v>
      </c>
      <c r="E235" s="43">
        <f ca="1">Summary!E23-'Regional Vehicle Summary'!E220</f>
        <v>0</v>
      </c>
      <c r="F235" s="43">
        <f ca="1">Summary!F23-'Regional Vehicle Summary'!F220</f>
        <v>0</v>
      </c>
      <c r="G235" s="43">
        <f ca="1">Summary!G23-'Regional Vehicle Summary'!G220</f>
        <v>0</v>
      </c>
      <c r="H235" s="43">
        <f ca="1">Summary!H23-'Regional Vehicle Summary'!H220</f>
        <v>0</v>
      </c>
      <c r="I235" s="43">
        <f ca="1">Summary!I23-'Regional Vehicle Summary'!I220</f>
        <v>0</v>
      </c>
      <c r="J235" s="43">
        <f ca="1">Summary!J23-'Regional Vehicle Summary'!J220</f>
        <v>0</v>
      </c>
      <c r="K235" s="43">
        <f ca="1">Summary!K23-'Regional Vehicle Summary'!K220</f>
        <v>0</v>
      </c>
      <c r="L235" s="43">
        <f ca="1">Summary!L23-'Regional Vehicle Summary'!L220</f>
        <v>0</v>
      </c>
      <c r="M235" s="43">
        <f ca="1">Summary!M23-'Regional Vehicle Summary'!M220</f>
        <v>0</v>
      </c>
      <c r="N235" s="43">
        <f ca="1">Summary!N23-'Regional Vehicle Summary'!N220</f>
        <v>0</v>
      </c>
      <c r="O235" s="43">
        <f ca="1">Summary!O23-'Regional Vehicle Summary'!O220</f>
        <v>0</v>
      </c>
      <c r="P235" s="43">
        <f ca="1">Summary!P23-'Regional Vehicle Summary'!P220</f>
        <v>0</v>
      </c>
      <c r="Q235" s="44">
        <f ca="1">Summary!Q23-'Regional Vehicle Summary'!Q220</f>
        <v>0</v>
      </c>
    </row>
    <row r="236" spans="3:17" ht="15.5" x14ac:dyDescent="0.35">
      <c r="C236" s="24" t="s">
        <v>43</v>
      </c>
      <c r="D236" s="42">
        <f ca="1">Summary!D24-'Regional Vehicle Summary'!D221</f>
        <v>0</v>
      </c>
      <c r="E236" s="43">
        <f ca="1">Summary!E24-'Regional Vehicle Summary'!E221</f>
        <v>0</v>
      </c>
      <c r="F236" s="43">
        <f ca="1">Summary!F24-'Regional Vehicle Summary'!F221</f>
        <v>0</v>
      </c>
      <c r="G236" s="43">
        <f ca="1">Summary!G24-'Regional Vehicle Summary'!G221</f>
        <v>0</v>
      </c>
      <c r="H236" s="43">
        <f ca="1">Summary!H24-'Regional Vehicle Summary'!H221</f>
        <v>0</v>
      </c>
      <c r="I236" s="43">
        <f ca="1">Summary!I24-'Regional Vehicle Summary'!I221</f>
        <v>0</v>
      </c>
      <c r="J236" s="43">
        <f ca="1">Summary!J24-'Regional Vehicle Summary'!J221</f>
        <v>0</v>
      </c>
      <c r="K236" s="43">
        <f ca="1">Summary!K24-'Regional Vehicle Summary'!K221</f>
        <v>0</v>
      </c>
      <c r="L236" s="43">
        <f ca="1">Summary!L24-'Regional Vehicle Summary'!L221</f>
        <v>0</v>
      </c>
      <c r="M236" s="43">
        <f ca="1">Summary!M24-'Regional Vehicle Summary'!M221</f>
        <v>0</v>
      </c>
      <c r="N236" s="43">
        <f ca="1">Summary!N24-'Regional Vehicle Summary'!N221</f>
        <v>0</v>
      </c>
      <c r="O236" s="43">
        <f ca="1">Summary!O24-'Regional Vehicle Summary'!O221</f>
        <v>0</v>
      </c>
      <c r="P236" s="43">
        <f ca="1">Summary!P24-'Regional Vehicle Summary'!P221</f>
        <v>0</v>
      </c>
      <c r="Q236" s="44">
        <f ca="1">Summary!Q24-'Regional Vehicle Summary'!Q221</f>
        <v>0</v>
      </c>
    </row>
    <row r="237" spans="3:17" ht="15.5" x14ac:dyDescent="0.35">
      <c r="C237" s="24" t="s">
        <v>44</v>
      </c>
      <c r="D237" s="42">
        <f ca="1">Summary!D25-'Regional Vehicle Summary'!D222</f>
        <v>0</v>
      </c>
      <c r="E237" s="43">
        <f ca="1">Summary!E25-'Regional Vehicle Summary'!E222</f>
        <v>0</v>
      </c>
      <c r="F237" s="43">
        <f ca="1">Summary!F25-'Regional Vehicle Summary'!F222</f>
        <v>0</v>
      </c>
      <c r="G237" s="43">
        <f ca="1">Summary!G25-'Regional Vehicle Summary'!G222</f>
        <v>0</v>
      </c>
      <c r="H237" s="43">
        <f ca="1">Summary!H25-'Regional Vehicle Summary'!H222</f>
        <v>0</v>
      </c>
      <c r="I237" s="43">
        <f ca="1">Summary!I25-'Regional Vehicle Summary'!I222</f>
        <v>0</v>
      </c>
      <c r="J237" s="43">
        <f ca="1">Summary!J25-'Regional Vehicle Summary'!J222</f>
        <v>0</v>
      </c>
      <c r="K237" s="43">
        <f ca="1">Summary!K25-'Regional Vehicle Summary'!K222</f>
        <v>0</v>
      </c>
      <c r="L237" s="43">
        <f ca="1">Summary!L25-'Regional Vehicle Summary'!L222</f>
        <v>0</v>
      </c>
      <c r="M237" s="43">
        <f ca="1">Summary!M25-'Regional Vehicle Summary'!M222</f>
        <v>0</v>
      </c>
      <c r="N237" s="43">
        <f ca="1">Summary!N25-'Regional Vehicle Summary'!N222</f>
        <v>0</v>
      </c>
      <c r="O237" s="43">
        <f ca="1">Summary!O25-'Regional Vehicle Summary'!O222</f>
        <v>0</v>
      </c>
      <c r="P237" s="43">
        <f ca="1">Summary!P25-'Regional Vehicle Summary'!P222</f>
        <v>0</v>
      </c>
      <c r="Q237" s="44">
        <f ca="1">Summary!Q25-'Regional Vehicle Summary'!Q222</f>
        <v>0</v>
      </c>
    </row>
    <row r="238" spans="3:17" ht="16" thickBot="1" x14ac:dyDescent="0.4">
      <c r="C238" s="24" t="s">
        <v>42</v>
      </c>
      <c r="D238" s="42">
        <f ca="1">Summary!D26-'Regional Vehicle Summary'!D223</f>
        <v>0</v>
      </c>
      <c r="E238" s="43">
        <f ca="1">Summary!E26-'Regional Vehicle Summary'!E223</f>
        <v>0</v>
      </c>
      <c r="F238" s="43">
        <f ca="1">Summary!F26-'Regional Vehicle Summary'!F223</f>
        <v>0</v>
      </c>
      <c r="G238" s="43">
        <f ca="1">Summary!G26-'Regional Vehicle Summary'!G223</f>
        <v>0</v>
      </c>
      <c r="H238" s="43">
        <f ca="1">Summary!H26-'Regional Vehicle Summary'!H223</f>
        <v>0</v>
      </c>
      <c r="I238" s="43">
        <f ca="1">Summary!I26-'Regional Vehicle Summary'!I223</f>
        <v>0</v>
      </c>
      <c r="J238" s="43">
        <f ca="1">Summary!J26-'Regional Vehicle Summary'!J223</f>
        <v>0</v>
      </c>
      <c r="K238" s="43">
        <f ca="1">Summary!K26-'Regional Vehicle Summary'!K223</f>
        <v>0</v>
      </c>
      <c r="L238" s="43">
        <f ca="1">Summary!L26-'Regional Vehicle Summary'!L223</f>
        <v>0</v>
      </c>
      <c r="M238" s="43">
        <f ca="1">Summary!M26-'Regional Vehicle Summary'!M223</f>
        <v>0</v>
      </c>
      <c r="N238" s="43">
        <f ca="1">Summary!N26-'Regional Vehicle Summary'!N223</f>
        <v>0</v>
      </c>
      <c r="O238" s="43">
        <f ca="1">Summary!O26-'Regional Vehicle Summary'!O223</f>
        <v>0</v>
      </c>
      <c r="P238" s="43">
        <f ca="1">Summary!P26-'Regional Vehicle Summary'!P223</f>
        <v>0</v>
      </c>
      <c r="Q238" s="44">
        <f ca="1">Summary!Q26-'Regional Vehicle Summary'!Q223</f>
        <v>0</v>
      </c>
    </row>
    <row r="239" spans="3:17" ht="16.5" thickTop="1" thickBot="1" x14ac:dyDescent="0.4">
      <c r="C239" s="31" t="s">
        <v>45</v>
      </c>
      <c r="D239" s="189">
        <f ca="1">SUM(D232:D238)</f>
        <v>0</v>
      </c>
      <c r="E239" s="48">
        <f t="shared" ref="E239:F239" ca="1" si="43">SUM(E232:E238)</f>
        <v>0</v>
      </c>
      <c r="F239" s="48">
        <f t="shared" ca="1" si="43"/>
        <v>0</v>
      </c>
      <c r="G239" s="48">
        <f t="shared" ref="G239:Q239" ca="1" si="44">SUM(G232:G238)</f>
        <v>0</v>
      </c>
      <c r="H239" s="48">
        <f t="shared" ca="1" si="44"/>
        <v>0</v>
      </c>
      <c r="I239" s="48">
        <f t="shared" ca="1" si="44"/>
        <v>0</v>
      </c>
      <c r="J239" s="48">
        <f t="shared" ca="1" si="44"/>
        <v>0</v>
      </c>
      <c r="K239" s="48">
        <f t="shared" ca="1" si="44"/>
        <v>0</v>
      </c>
      <c r="L239" s="48">
        <f t="shared" ca="1" si="44"/>
        <v>0</v>
      </c>
      <c r="M239" s="48">
        <f t="shared" ca="1" si="44"/>
        <v>0</v>
      </c>
      <c r="N239" s="48">
        <f t="shared" ca="1" si="44"/>
        <v>0</v>
      </c>
      <c r="O239" s="48">
        <f t="shared" ca="1" si="44"/>
        <v>0</v>
      </c>
      <c r="P239" s="48">
        <f t="shared" ca="1" si="44"/>
        <v>0</v>
      </c>
      <c r="Q239" s="49">
        <f t="shared" ca="1" si="44"/>
        <v>0</v>
      </c>
    </row>
    <row r="240" spans="3:17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C3:Q28"/>
  <sheetViews>
    <sheetView zoomScale="90" zoomScaleNormal="90" workbookViewId="0">
      <selection activeCell="K27" sqref="K27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49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'All Light Vehicles'!D7+'Heavy Truck'!D7+'Heavy Bus'!D7+Motorcycle!D7</f>
        <v>1614.4332767839339</v>
      </c>
      <c r="E7" s="53">
        <f>'All Light Vehicles'!E7+'Heavy Truck'!E7+'Heavy Bus'!E7+Motorcycle!E7</f>
        <v>1701.9171540661921</v>
      </c>
      <c r="F7" s="53">
        <f>'All Light Vehicles'!F7+'Heavy Truck'!F7+'Heavy Bus'!F7+Motorcycle!F7</f>
        <v>1761.1287190884541</v>
      </c>
      <c r="G7" s="53">
        <f>'All Light Vehicles'!G7+'Heavy Truck'!G7+'Heavy Bus'!G7+Motorcycle!G7</f>
        <v>1840.4818663539272</v>
      </c>
      <c r="H7" s="53">
        <f>'All Light Vehicles'!H7+'Heavy Truck'!H7+'Heavy Bus'!H7+Motorcycle!H7</f>
        <v>1877.8581578279388</v>
      </c>
      <c r="I7" s="53">
        <f>'All Light Vehicles'!I7+'Heavy Truck'!I7+'Heavy Bus'!I7+Motorcycle!I7</f>
        <v>2074.4787656308372</v>
      </c>
      <c r="J7" s="53">
        <f ca="1">'All Light Vehicles'!J7+'Heavy Truck'!J7+'Heavy Bus'!J7+Motorcycle!J7</f>
        <v>2221.7412709228843</v>
      </c>
      <c r="K7" s="53">
        <f ca="1">'All Light Vehicles'!K7+'Heavy Truck'!K7+'Heavy Bus'!K7+Motorcycle!K7</f>
        <v>2348.4900565728817</v>
      </c>
      <c r="L7" s="53">
        <f ca="1">'All Light Vehicles'!L7+'Heavy Truck'!L7+'Heavy Bus'!L7+Motorcycle!L7</f>
        <v>2462.535569508465</v>
      </c>
      <c r="M7" s="53">
        <f ca="1">'All Light Vehicles'!M7+'Heavy Truck'!M7+'Heavy Bus'!M7+Motorcycle!M7</f>
        <v>2551.3473910033426</v>
      </c>
      <c r="N7" s="53">
        <f ca="1">'All Light Vehicles'!N7+'Heavy Truck'!N7+'Heavy Bus'!N7+Motorcycle!N7</f>
        <v>2634.0472997681081</v>
      </c>
      <c r="O7" s="53">
        <f ca="1">'All Light Vehicles'!O7+'Heavy Truck'!O7+'Heavy Bus'!O7+Motorcycle!O7</f>
        <v>2721.7464520529152</v>
      </c>
      <c r="P7" s="53">
        <f ca="1">'All Light Vehicles'!P7+'Heavy Truck'!P7+'Heavy Bus'!P7+Motorcycle!P7</f>
        <v>2804.4822355176534</v>
      </c>
      <c r="Q7" s="54">
        <f ca="1">'All Light Vehicles'!Q7+'Heavy Truck'!Q7+'Heavy Bus'!Q7+Motorcycle!Q7</f>
        <v>2881.9473256135575</v>
      </c>
    </row>
    <row r="8" spans="3:17" ht="15.5" x14ac:dyDescent="0.35">
      <c r="C8" s="24" t="s">
        <v>1</v>
      </c>
      <c r="D8" s="55">
        <f>'All Light Vehicles'!D8+'Heavy Truck'!D8+'Heavy Bus'!D8+Motorcycle!D8</f>
        <v>12281.482706897106</v>
      </c>
      <c r="E8" s="56">
        <f>'All Light Vehicles'!E8+'Heavy Truck'!E8+'Heavy Bus'!E8+Motorcycle!E8</f>
        <v>12467.994678717776</v>
      </c>
      <c r="F8" s="56">
        <f>'All Light Vehicles'!F8+'Heavy Truck'!F8+'Heavy Bus'!F8+Motorcycle!F8</f>
        <v>12699.206275751021</v>
      </c>
      <c r="G8" s="56">
        <f>'All Light Vehicles'!G8+'Heavy Truck'!G8+'Heavy Bus'!G8+Motorcycle!G8</f>
        <v>13049.163350678584</v>
      </c>
      <c r="H8" s="56">
        <f>'All Light Vehicles'!H8+'Heavy Truck'!H8+'Heavy Bus'!H8+Motorcycle!H8</f>
        <v>13618.400583018316</v>
      </c>
      <c r="I8" s="56">
        <f>'All Light Vehicles'!I8+'Heavy Truck'!I8+'Heavy Bus'!I8+Motorcycle!I8</f>
        <v>13613.679011829714</v>
      </c>
      <c r="J8" s="56">
        <f ca="1">'All Light Vehicles'!J8+'Heavy Truck'!J8+'Heavy Bus'!J8+Motorcycle!J8</f>
        <v>14871.451552381113</v>
      </c>
      <c r="K8" s="56">
        <f ca="1">'All Light Vehicles'!K8+'Heavy Truck'!K8+'Heavy Bus'!K8+Motorcycle!K8</f>
        <v>15971.732503853829</v>
      </c>
      <c r="L8" s="56">
        <f ca="1">'All Light Vehicles'!L8+'Heavy Truck'!L8+'Heavy Bus'!L8+Motorcycle!L8</f>
        <v>17092.719071338513</v>
      </c>
      <c r="M8" s="56">
        <f ca="1">'All Light Vehicles'!M8+'Heavy Truck'!M8+'Heavy Bus'!M8+Motorcycle!M8</f>
        <v>18132.188347001313</v>
      </c>
      <c r="N8" s="56">
        <f ca="1">'All Light Vehicles'!N8+'Heavy Truck'!N8+'Heavy Bus'!N8+Motorcycle!N8</f>
        <v>19192.602717919384</v>
      </c>
      <c r="O8" s="56">
        <f ca="1">'All Light Vehicles'!O8+'Heavy Truck'!O8+'Heavy Bus'!O8+Motorcycle!O8</f>
        <v>20303.351760154288</v>
      </c>
      <c r="P8" s="56">
        <f ca="1">'All Light Vehicles'!P8+'Heavy Truck'!P8+'Heavy Bus'!P8+Motorcycle!P8</f>
        <v>21408.845462248613</v>
      </c>
      <c r="Q8" s="57">
        <f ca="1">'All Light Vehicles'!Q8+'Heavy Truck'!Q8+'Heavy Bus'!Q8+Motorcycle!Q8</f>
        <v>22494.619835173198</v>
      </c>
    </row>
    <row r="9" spans="3:17" ht="15.5" x14ac:dyDescent="0.35">
      <c r="C9" s="24" t="s">
        <v>2</v>
      </c>
      <c r="D9" s="55">
        <f>'All Light Vehicles'!D9+'Heavy Truck'!D9+'Heavy Bus'!D9+Motorcycle!D9</f>
        <v>5147.6693024542274</v>
      </c>
      <c r="E9" s="56">
        <f>'All Light Vehicles'!E9+'Heavy Truck'!E9+'Heavy Bus'!E9+Motorcycle!E9</f>
        <v>5123.4602353703558</v>
      </c>
      <c r="F9" s="56">
        <f>'All Light Vehicles'!F9+'Heavy Truck'!F9+'Heavy Bus'!F9+Motorcycle!F9</f>
        <v>5361.9886058905886</v>
      </c>
      <c r="G9" s="56">
        <f>'All Light Vehicles'!G9+'Heavy Truck'!G9+'Heavy Bus'!G9+Motorcycle!G9</f>
        <v>5653.3681867720961</v>
      </c>
      <c r="H9" s="56">
        <f>'All Light Vehicles'!H9+'Heavy Truck'!H9+'Heavy Bus'!H9+Motorcycle!H9</f>
        <v>5974.79731129624</v>
      </c>
      <c r="I9" s="56">
        <f>'All Light Vehicles'!I9+'Heavy Truck'!I9+'Heavy Bus'!I9+Motorcycle!I9</f>
        <v>6461.3429215505921</v>
      </c>
      <c r="J9" s="56">
        <f ca="1">'All Light Vehicles'!J9+'Heavy Truck'!J9+'Heavy Bus'!J9+Motorcycle!J9</f>
        <v>6952.6124985266033</v>
      </c>
      <c r="K9" s="56">
        <f ca="1">'All Light Vehicles'!K9+'Heavy Truck'!K9+'Heavy Bus'!K9+Motorcycle!K9</f>
        <v>7373.9430709085964</v>
      </c>
      <c r="L9" s="56">
        <f ca="1">'All Light Vehicles'!L9+'Heavy Truck'!L9+'Heavy Bus'!L9+Motorcycle!L9</f>
        <v>7764.1340470866853</v>
      </c>
      <c r="M9" s="56">
        <f ca="1">'All Light Vehicles'!M9+'Heavy Truck'!M9+'Heavy Bus'!M9+Motorcycle!M9</f>
        <v>8092.5141011970099</v>
      </c>
      <c r="N9" s="56">
        <f ca="1">'All Light Vehicles'!N9+'Heavy Truck'!N9+'Heavy Bus'!N9+Motorcycle!N9</f>
        <v>8411.4607702753656</v>
      </c>
      <c r="O9" s="56">
        <f ca="1">'All Light Vehicles'!O9+'Heavy Truck'!O9+'Heavy Bus'!O9+Motorcycle!O9</f>
        <v>8731.8476092875262</v>
      </c>
      <c r="P9" s="56">
        <f ca="1">'All Light Vehicles'!P9+'Heavy Truck'!P9+'Heavy Bus'!P9+Motorcycle!P9</f>
        <v>9034.5026432960476</v>
      </c>
      <c r="Q9" s="57">
        <f ca="1">'All Light Vehicles'!Q9+'Heavy Truck'!Q9+'Heavy Bus'!Q9+Motorcycle!Q9</f>
        <v>9316.210427765589</v>
      </c>
    </row>
    <row r="10" spans="3:17" ht="15.5" x14ac:dyDescent="0.35">
      <c r="C10" s="24" t="s">
        <v>3</v>
      </c>
      <c r="D10" s="55">
        <f>'All Light Vehicles'!D10+'Heavy Truck'!D10+'Heavy Bus'!D10+Motorcycle!D10</f>
        <v>2620.4436646574495</v>
      </c>
      <c r="E10" s="56">
        <f>'All Light Vehicles'!E10+'Heavy Truck'!E10+'Heavy Bus'!E10+Motorcycle!E10</f>
        <v>2727.315253938013</v>
      </c>
      <c r="F10" s="56">
        <f>'All Light Vehicles'!F10+'Heavy Truck'!F10+'Heavy Bus'!F10+Motorcycle!F10</f>
        <v>2747.6451909949124</v>
      </c>
      <c r="G10" s="56">
        <f>'All Light Vehicles'!G10+'Heavy Truck'!G10+'Heavy Bus'!G10+Motorcycle!G10</f>
        <v>2850.8906880791264</v>
      </c>
      <c r="H10" s="56">
        <f>'All Light Vehicles'!H10+'Heavy Truck'!H10+'Heavy Bus'!H10+Motorcycle!H10</f>
        <v>3238.8697888428323</v>
      </c>
      <c r="I10" s="56">
        <f>'All Light Vehicles'!I10+'Heavy Truck'!I10+'Heavy Bus'!I10+Motorcycle!I10</f>
        <v>3312.5672155062412</v>
      </c>
      <c r="J10" s="56">
        <f ca="1">'All Light Vehicles'!J10+'Heavy Truck'!J10+'Heavy Bus'!J10+Motorcycle!J10</f>
        <v>3535.7462056963655</v>
      </c>
      <c r="K10" s="56">
        <f ca="1">'All Light Vehicles'!K10+'Heavy Truck'!K10+'Heavy Bus'!K10+Motorcycle!K10</f>
        <v>3718.8112822336097</v>
      </c>
      <c r="L10" s="56">
        <f ca="1">'All Light Vehicles'!L10+'Heavy Truck'!L10+'Heavy Bus'!L10+Motorcycle!L10</f>
        <v>3884.0592018177267</v>
      </c>
      <c r="M10" s="56">
        <f ca="1">'All Light Vehicles'!M10+'Heavy Truck'!M10+'Heavy Bus'!M10+Motorcycle!M10</f>
        <v>4009.6414097200254</v>
      </c>
      <c r="N10" s="56">
        <f ca="1">'All Light Vehicles'!N10+'Heavy Truck'!N10+'Heavy Bus'!N10+Motorcycle!N10</f>
        <v>4129.3487499510848</v>
      </c>
      <c r="O10" s="56">
        <f ca="1">'All Light Vehicles'!O10+'Heavy Truck'!O10+'Heavy Bus'!O10+Motorcycle!O10</f>
        <v>4254.0033914719907</v>
      </c>
      <c r="P10" s="56">
        <f ca="1">'All Light Vehicles'!P10+'Heavy Truck'!P10+'Heavy Bus'!P10+Motorcycle!P10</f>
        <v>4368.0549389408361</v>
      </c>
      <c r="Q10" s="57">
        <f ca="1">'All Light Vehicles'!Q10+'Heavy Truck'!Q10+'Heavy Bus'!Q10+Motorcycle!Q10</f>
        <v>4470.2763281462167</v>
      </c>
    </row>
    <row r="11" spans="3:17" ht="15.5" x14ac:dyDescent="0.35">
      <c r="C11" s="24" t="s">
        <v>4</v>
      </c>
      <c r="D11" s="55">
        <f>'All Light Vehicles'!D11+'Heavy Truck'!D11+'Heavy Bus'!D11+Motorcycle!D11</f>
        <v>376.06695211991325</v>
      </c>
      <c r="E11" s="56">
        <f>'All Light Vehicles'!E11+'Heavy Truck'!E11+'Heavy Bus'!E11+Motorcycle!E11</f>
        <v>383.39397565482125</v>
      </c>
      <c r="F11" s="56">
        <f>'All Light Vehicles'!F11+'Heavy Truck'!F11+'Heavy Bus'!F11+Motorcycle!F11</f>
        <v>402.2309236791391</v>
      </c>
      <c r="G11" s="56">
        <f>'All Light Vehicles'!G11+'Heavy Truck'!G11+'Heavy Bus'!G11+Motorcycle!G11</f>
        <v>413.3207989383597</v>
      </c>
      <c r="H11" s="56">
        <f>'All Light Vehicles'!H11+'Heavy Truck'!H11+'Heavy Bus'!H11+Motorcycle!H11</f>
        <v>409.01271098540843</v>
      </c>
      <c r="I11" s="56">
        <f>'All Light Vehicles'!I11+'Heavy Truck'!I11+'Heavy Bus'!I11+Motorcycle!I11</f>
        <v>418.2416866191204</v>
      </c>
      <c r="J11" s="56">
        <f ca="1">'All Light Vehicles'!J11+'Heavy Truck'!J11+'Heavy Bus'!J11+Motorcycle!J11</f>
        <v>438.15358514507085</v>
      </c>
      <c r="K11" s="56">
        <f ca="1">'All Light Vehicles'!K11+'Heavy Truck'!K11+'Heavy Bus'!K11+Motorcycle!K11</f>
        <v>451.72694577934499</v>
      </c>
      <c r="L11" s="56">
        <f ca="1">'All Light Vehicles'!L11+'Heavy Truck'!L11+'Heavy Bus'!L11+Motorcycle!L11</f>
        <v>462.91608652717804</v>
      </c>
      <c r="M11" s="56">
        <f ca="1">'All Light Vehicles'!M11+'Heavy Truck'!M11+'Heavy Bus'!M11+Motorcycle!M11</f>
        <v>466.41566509058384</v>
      </c>
      <c r="N11" s="56">
        <f ca="1">'All Light Vehicles'!N11+'Heavy Truck'!N11+'Heavy Bus'!N11+Motorcycle!N11</f>
        <v>469.27288688756852</v>
      </c>
      <c r="O11" s="56">
        <f ca="1">'All Light Vehicles'!O11+'Heavy Truck'!O11+'Heavy Bus'!O11+Motorcycle!O11</f>
        <v>474.84286309873818</v>
      </c>
      <c r="P11" s="56">
        <f ca="1">'All Light Vehicles'!P11+'Heavy Truck'!P11+'Heavy Bus'!P11+Motorcycle!P11</f>
        <v>478.99315731160408</v>
      </c>
      <c r="Q11" s="57">
        <f ca="1">'All Light Vehicles'!Q11+'Heavy Truck'!Q11+'Heavy Bus'!Q11+Motorcycle!Q11</f>
        <v>481.67857005806241</v>
      </c>
    </row>
    <row r="12" spans="3:17" ht="15.5" x14ac:dyDescent="0.35">
      <c r="C12" s="24" t="s">
        <v>5</v>
      </c>
      <c r="D12" s="55">
        <f>'All Light Vehicles'!D12+'Heavy Truck'!D12+'Heavy Bus'!D12+Motorcycle!D12</f>
        <v>1423.2688260531656</v>
      </c>
      <c r="E12" s="56">
        <f>'All Light Vehicles'!E12+'Heavy Truck'!E12+'Heavy Bus'!E12+Motorcycle!E12</f>
        <v>1424.8778446210301</v>
      </c>
      <c r="F12" s="56">
        <f>'All Light Vehicles'!F12+'Heavy Truck'!F12+'Heavy Bus'!F12+Motorcycle!F12</f>
        <v>1493.7991799493013</v>
      </c>
      <c r="G12" s="56">
        <f>'All Light Vehicles'!G12+'Heavy Truck'!G12+'Heavy Bus'!G12+Motorcycle!G12</f>
        <v>1566.819166610464</v>
      </c>
      <c r="H12" s="56">
        <f>'All Light Vehicles'!H12+'Heavy Truck'!H12+'Heavy Bus'!H12+Motorcycle!H12</f>
        <v>1630.0157584464723</v>
      </c>
      <c r="I12" s="56">
        <f>'All Light Vehicles'!I12+'Heavy Truck'!I12+'Heavy Bus'!I12+Motorcycle!I12</f>
        <v>1675.0243508185633</v>
      </c>
      <c r="J12" s="56">
        <f ca="1">'All Light Vehicles'!J12+'Heavy Truck'!J12+'Heavy Bus'!J12+Motorcycle!J12</f>
        <v>1792.1277448395351</v>
      </c>
      <c r="K12" s="56">
        <f ca="1">'All Light Vehicles'!K12+'Heavy Truck'!K12+'Heavy Bus'!K12+Motorcycle!K12</f>
        <v>1885.5121493973202</v>
      </c>
      <c r="L12" s="56">
        <f ca="1">'All Light Vehicles'!L12+'Heavy Truck'!L12+'Heavy Bus'!L12+Motorcycle!L12</f>
        <v>1970.13400580539</v>
      </c>
      <c r="M12" s="56">
        <f ca="1">'All Light Vehicles'!M12+'Heavy Truck'!M12+'Heavy Bus'!M12+Motorcycle!M12</f>
        <v>2033.1838921724632</v>
      </c>
      <c r="N12" s="56">
        <f ca="1">'All Light Vehicles'!N12+'Heavy Truck'!N12+'Heavy Bus'!N12+Motorcycle!N12</f>
        <v>2095.5862845723564</v>
      </c>
      <c r="O12" s="56">
        <f ca="1">'All Light Vehicles'!O12+'Heavy Truck'!O12+'Heavy Bus'!O12+Motorcycle!O12</f>
        <v>2164.5145265644151</v>
      </c>
      <c r="P12" s="56">
        <f ca="1">'All Light Vehicles'!P12+'Heavy Truck'!P12+'Heavy Bus'!P12+Motorcycle!P12</f>
        <v>2229.9157089611549</v>
      </c>
      <c r="Q12" s="57">
        <f ca="1">'All Light Vehicles'!Q12+'Heavy Truck'!Q12+'Heavy Bus'!Q12+Motorcycle!Q12</f>
        <v>2291.2460548875165</v>
      </c>
    </row>
    <row r="13" spans="3:17" ht="15.5" x14ac:dyDescent="0.35">
      <c r="C13" s="24" t="s">
        <v>6</v>
      </c>
      <c r="D13" s="55">
        <f>'All Light Vehicles'!D13+'Heavy Truck'!D13+'Heavy Bus'!D13+Motorcycle!D13</f>
        <v>1000.8616860747703</v>
      </c>
      <c r="E13" s="56">
        <f>'All Light Vehicles'!E13+'Heavy Truck'!E13+'Heavy Bus'!E13+Motorcycle!E13</f>
        <v>1032.7877435347252</v>
      </c>
      <c r="F13" s="56">
        <f>'All Light Vehicles'!F13+'Heavy Truck'!F13+'Heavy Bus'!F13+Motorcycle!F13</f>
        <v>1077.5298537593796</v>
      </c>
      <c r="G13" s="56">
        <f>'All Light Vehicles'!G13+'Heavy Truck'!G13+'Heavy Bus'!G13+Motorcycle!G13</f>
        <v>1118.9852596601088</v>
      </c>
      <c r="H13" s="56">
        <f>'All Light Vehicles'!H13+'Heavy Truck'!H13+'Heavy Bus'!H13+Motorcycle!H13</f>
        <v>1146.2723394287116</v>
      </c>
      <c r="I13" s="56">
        <f>'All Light Vehicles'!I13+'Heavy Truck'!I13+'Heavy Bus'!I13+Motorcycle!I13</f>
        <v>1188.6852662248193</v>
      </c>
      <c r="J13" s="56">
        <f ca="1">'All Light Vehicles'!J13+'Heavy Truck'!J13+'Heavy Bus'!J13+Motorcycle!J13</f>
        <v>1272.847698915743</v>
      </c>
      <c r="K13" s="56">
        <f ca="1">'All Light Vehicles'!K13+'Heavy Truck'!K13+'Heavy Bus'!K13+Motorcycle!K13</f>
        <v>1344.3336328483549</v>
      </c>
      <c r="L13" s="56">
        <f ca="1">'All Light Vehicles'!L13+'Heavy Truck'!L13+'Heavy Bus'!L13+Motorcycle!L13</f>
        <v>1411.6804082839617</v>
      </c>
      <c r="M13" s="56">
        <f ca="1">'All Light Vehicles'!M13+'Heavy Truck'!M13+'Heavy Bus'!M13+Motorcycle!M13</f>
        <v>1468.461906808275</v>
      </c>
      <c r="N13" s="56">
        <f ca="1">'All Light Vehicles'!N13+'Heavy Truck'!N13+'Heavy Bus'!N13+Motorcycle!N13</f>
        <v>1524.5596690620857</v>
      </c>
      <c r="O13" s="56">
        <f ca="1">'All Light Vehicles'!O13+'Heavy Truck'!O13+'Heavy Bus'!O13+Motorcycle!O13</f>
        <v>1581.4518250970102</v>
      </c>
      <c r="P13" s="56">
        <f ca="1">'All Light Vehicles'!P13+'Heavy Truck'!P13+'Heavy Bus'!P13+Motorcycle!P13</f>
        <v>1636.1560897045431</v>
      </c>
      <c r="Q13" s="57">
        <f ca="1">'All Light Vehicles'!Q13+'Heavy Truck'!Q13+'Heavy Bus'!Q13+Motorcycle!Q13</f>
        <v>1688.4641119177975</v>
      </c>
    </row>
    <row r="14" spans="3:17" ht="15.5" x14ac:dyDescent="0.35">
      <c r="C14" s="24" t="s">
        <v>7</v>
      </c>
      <c r="D14" s="55">
        <f>'All Light Vehicles'!D14+'Heavy Truck'!D14+'Heavy Bus'!D14+Motorcycle!D14</f>
        <v>2321.9849498171861</v>
      </c>
      <c r="E14" s="56">
        <f>'All Light Vehicles'!E14+'Heavy Truck'!E14+'Heavy Bus'!E14+Motorcycle!E14</f>
        <v>2361.186810381826</v>
      </c>
      <c r="F14" s="56">
        <f>'All Light Vehicles'!F14+'Heavy Truck'!F14+'Heavy Bus'!F14+Motorcycle!F14</f>
        <v>2416.6850925186936</v>
      </c>
      <c r="G14" s="56">
        <f>'All Light Vehicles'!G14+'Heavy Truck'!G14+'Heavy Bus'!G14+Motorcycle!G14</f>
        <v>2543.7864591807061</v>
      </c>
      <c r="H14" s="56">
        <f>'All Light Vehicles'!H14+'Heavy Truck'!H14+'Heavy Bus'!H14+Motorcycle!H14</f>
        <v>2612.3664778276543</v>
      </c>
      <c r="I14" s="56">
        <f>'All Light Vehicles'!I14+'Heavy Truck'!I14+'Heavy Bus'!I14+Motorcycle!I14</f>
        <v>2652.5828679933002</v>
      </c>
      <c r="J14" s="56">
        <f ca="1">'All Light Vehicles'!J14+'Heavy Truck'!J14+'Heavy Bus'!J14+Motorcycle!J14</f>
        <v>2795.2731812911506</v>
      </c>
      <c r="K14" s="56">
        <f ca="1">'All Light Vehicles'!K14+'Heavy Truck'!K14+'Heavy Bus'!K14+Motorcycle!K14</f>
        <v>2910.3836720782865</v>
      </c>
      <c r="L14" s="56">
        <f ca="1">'All Light Vehicles'!L14+'Heavy Truck'!L14+'Heavy Bus'!L14+Motorcycle!L14</f>
        <v>3009.8733335572374</v>
      </c>
      <c r="M14" s="56">
        <f ca="1">'All Light Vehicles'!M14+'Heavy Truck'!M14+'Heavy Bus'!M14+Motorcycle!M14</f>
        <v>3080.671182902292</v>
      </c>
      <c r="N14" s="56">
        <f ca="1">'All Light Vehicles'!N14+'Heavy Truck'!N14+'Heavy Bus'!N14+Motorcycle!N14</f>
        <v>3144.0997082567028</v>
      </c>
      <c r="O14" s="56">
        <f ca="1">'All Light Vehicles'!O14+'Heavy Truck'!O14+'Heavy Bus'!O14+Motorcycle!O14</f>
        <v>3206.1659229179027</v>
      </c>
      <c r="P14" s="56">
        <f ca="1">'All Light Vehicles'!P14+'Heavy Truck'!P14+'Heavy Bus'!P14+Motorcycle!P14</f>
        <v>3261.1316059880924</v>
      </c>
      <c r="Q14" s="57">
        <f ca="1">'All Light Vehicles'!Q14+'Heavy Truck'!Q14+'Heavy Bus'!Q14+Motorcycle!Q14</f>
        <v>3308.8010034302429</v>
      </c>
    </row>
    <row r="15" spans="3:17" ht="15.5" x14ac:dyDescent="0.35">
      <c r="C15" s="24" t="s">
        <v>8</v>
      </c>
      <c r="D15" s="55">
        <f>'All Light Vehicles'!D15+'Heavy Truck'!D15+'Heavy Bus'!D15+Motorcycle!D15</f>
        <v>3386.8998872603684</v>
      </c>
      <c r="E15" s="56">
        <f>'All Light Vehicles'!E15+'Heavy Truck'!E15+'Heavy Bus'!E15+Motorcycle!E15</f>
        <v>3460.6441942347947</v>
      </c>
      <c r="F15" s="56">
        <f>'All Light Vehicles'!F15+'Heavy Truck'!F15+'Heavy Bus'!F15+Motorcycle!F15</f>
        <v>3722.2965907880189</v>
      </c>
      <c r="G15" s="56">
        <f>'All Light Vehicles'!G15+'Heavy Truck'!G15+'Heavy Bus'!G15+Motorcycle!G15</f>
        <v>3644.9611145200861</v>
      </c>
      <c r="H15" s="56">
        <f>'All Light Vehicles'!H15+'Heavy Truck'!H15+'Heavy Bus'!H15+Motorcycle!H15</f>
        <v>3639.8929161054239</v>
      </c>
      <c r="I15" s="56">
        <f>'All Light Vehicles'!I15+'Heavy Truck'!I15+'Heavy Bus'!I15+Motorcycle!I15</f>
        <v>3832.4380130716982</v>
      </c>
      <c r="J15" s="56">
        <f ca="1">'All Light Vehicles'!J15+'Heavy Truck'!J15+'Heavy Bus'!J15+Motorcycle!J15</f>
        <v>4127.1841535723825</v>
      </c>
      <c r="K15" s="56">
        <f ca="1">'All Light Vehicles'!K15+'Heavy Truck'!K15+'Heavy Bus'!K15+Motorcycle!K15</f>
        <v>4388.4058348994295</v>
      </c>
      <c r="L15" s="56">
        <f ca="1">'All Light Vehicles'!L15+'Heavy Truck'!L15+'Heavy Bus'!L15+Motorcycle!L15</f>
        <v>4635.613786505789</v>
      </c>
      <c r="M15" s="56">
        <f ca="1">'All Light Vehicles'!M15+'Heavy Truck'!M15+'Heavy Bus'!M15+Motorcycle!M15</f>
        <v>4849.9707983161834</v>
      </c>
      <c r="N15" s="56">
        <f ca="1">'All Light Vehicles'!N15+'Heavy Truck'!N15+'Heavy Bus'!N15+Motorcycle!N15</f>
        <v>5060.6246622444869</v>
      </c>
      <c r="O15" s="56">
        <f ca="1">'All Light Vehicles'!O15+'Heavy Truck'!O15+'Heavy Bus'!O15+Motorcycle!O15</f>
        <v>5275.9513036011786</v>
      </c>
      <c r="P15" s="56">
        <f ca="1">'All Light Vehicles'!P15+'Heavy Truck'!P15+'Heavy Bus'!P15+Motorcycle!P15</f>
        <v>5484.1367072068406</v>
      </c>
      <c r="Q15" s="57">
        <f ca="1">'All Light Vehicles'!Q15+'Heavy Truck'!Q15+'Heavy Bus'!Q15+Motorcycle!Q15</f>
        <v>5683.9039993833785</v>
      </c>
    </row>
    <row r="16" spans="3:17" ht="15.5" x14ac:dyDescent="0.35">
      <c r="C16" s="24" t="s">
        <v>9</v>
      </c>
      <c r="D16" s="55">
        <f>'All Light Vehicles'!D16+'Heavy Truck'!D16+'Heavy Bus'!D16+Motorcycle!D16</f>
        <v>1270.478107942324</v>
      </c>
      <c r="E16" s="56">
        <f>'All Light Vehicles'!E16+'Heavy Truck'!E16+'Heavy Bus'!E16+Motorcycle!E16</f>
        <v>1295.7109123520361</v>
      </c>
      <c r="F16" s="56">
        <f>'All Light Vehicles'!F16+'Heavy Truck'!F16+'Heavy Bus'!F16+Motorcycle!F16</f>
        <v>1239.7826566390647</v>
      </c>
      <c r="G16" s="56">
        <f>'All Light Vehicles'!G16+'Heavy Truck'!G16+'Heavy Bus'!G16+Motorcycle!G16</f>
        <v>1441.1710675635109</v>
      </c>
      <c r="H16" s="56">
        <f>'All Light Vehicles'!H16+'Heavy Truck'!H16+'Heavy Bus'!H16+Motorcycle!H16</f>
        <v>1501.3757848420221</v>
      </c>
      <c r="I16" s="56">
        <f>'All Light Vehicles'!I16+'Heavy Truck'!I16+'Heavy Bus'!I16+Motorcycle!I16</f>
        <v>1605.1381812299692</v>
      </c>
      <c r="J16" s="56">
        <f ca="1">'All Light Vehicles'!J16+'Heavy Truck'!J16+'Heavy Bus'!J16+Motorcycle!J16</f>
        <v>1693.012785334708</v>
      </c>
      <c r="K16" s="56">
        <f ca="1">'All Light Vehicles'!K16+'Heavy Truck'!K16+'Heavy Bus'!K16+Motorcycle!K16</f>
        <v>1770.2512368934204</v>
      </c>
      <c r="L16" s="56">
        <f ca="1">'All Light Vehicles'!L16+'Heavy Truck'!L16+'Heavy Bus'!L16+Motorcycle!L16</f>
        <v>1837.975852663353</v>
      </c>
      <c r="M16" s="56">
        <f ca="1">'All Light Vehicles'!M16+'Heavy Truck'!M16+'Heavy Bus'!M16+Motorcycle!M16</f>
        <v>1886.2637963513662</v>
      </c>
      <c r="N16" s="56">
        <f ca="1">'All Light Vehicles'!N16+'Heavy Truck'!N16+'Heavy Bus'!N16+Motorcycle!N16</f>
        <v>1928.6419482936087</v>
      </c>
      <c r="O16" s="56">
        <f ca="1">'All Light Vehicles'!O16+'Heavy Truck'!O16+'Heavy Bus'!O16+Motorcycle!O16</f>
        <v>1972.2558458974015</v>
      </c>
      <c r="P16" s="56">
        <f ca="1">'All Light Vehicles'!P16+'Heavy Truck'!P16+'Heavy Bus'!P16+Motorcycle!P16</f>
        <v>2010.3462086119953</v>
      </c>
      <c r="Q16" s="57">
        <f ca="1">'All Light Vehicles'!Q16+'Heavy Truck'!Q16+'Heavy Bus'!Q16+Motorcycle!Q16</f>
        <v>2042.2732088640591</v>
      </c>
    </row>
    <row r="17" spans="3:17" ht="15.5" x14ac:dyDescent="0.35">
      <c r="C17" s="24" t="s">
        <v>10</v>
      </c>
      <c r="D17" s="55">
        <f>'All Light Vehicles'!D17+'Heavy Truck'!D17+'Heavy Bus'!D17+Motorcycle!D17</f>
        <v>488.8740109150076</v>
      </c>
      <c r="E17" s="56">
        <f>'All Light Vehicles'!E17+'Heavy Truck'!E17+'Heavy Bus'!E17+Motorcycle!E17</f>
        <v>490.33299399200979</v>
      </c>
      <c r="F17" s="56">
        <f>'All Light Vehicles'!F17+'Heavy Truck'!F17+'Heavy Bus'!F17+Motorcycle!F17</f>
        <v>527.56130585399728</v>
      </c>
      <c r="G17" s="56">
        <f>'All Light Vehicles'!G17+'Heavy Truck'!G17+'Heavy Bus'!G17+Motorcycle!G17</f>
        <v>552.93135306509839</v>
      </c>
      <c r="H17" s="56">
        <f>'All Light Vehicles'!H17+'Heavy Truck'!H17+'Heavy Bus'!H17+Motorcycle!H17</f>
        <v>571.17252797071058</v>
      </c>
      <c r="I17" s="56">
        <f>'All Light Vehicles'!I17+'Heavy Truck'!I17+'Heavy Bus'!I17+Motorcycle!I17</f>
        <v>622.40980389924778</v>
      </c>
      <c r="J17" s="56">
        <f ca="1">'All Light Vehicles'!J17+'Heavy Truck'!J17+'Heavy Bus'!J17+Motorcycle!J17</f>
        <v>637.38401021473715</v>
      </c>
      <c r="K17" s="56">
        <f ca="1">'All Light Vehicles'!K17+'Heavy Truck'!K17+'Heavy Bus'!K17+Motorcycle!K17</f>
        <v>647.36118218551746</v>
      </c>
      <c r="L17" s="56">
        <f ca="1">'All Light Vehicles'!L17+'Heavy Truck'!L17+'Heavy Bus'!L17+Motorcycle!L17</f>
        <v>653.42003055973839</v>
      </c>
      <c r="M17" s="56">
        <f ca="1">'All Light Vehicles'!M17+'Heavy Truck'!M17+'Heavy Bus'!M17+Motorcycle!M17</f>
        <v>652.64294496716957</v>
      </c>
      <c r="N17" s="56">
        <f ca="1">'All Light Vehicles'!N17+'Heavy Truck'!N17+'Heavy Bus'!N17+Motorcycle!N17</f>
        <v>651.07916415554382</v>
      </c>
      <c r="O17" s="56">
        <f ca="1">'All Light Vehicles'!O17+'Heavy Truck'!O17+'Heavy Bus'!O17+Motorcycle!O17</f>
        <v>649.42981662797376</v>
      </c>
      <c r="P17" s="56">
        <f ca="1">'All Light Vehicles'!P17+'Heavy Truck'!P17+'Heavy Bus'!P17+Motorcycle!P17</f>
        <v>645.9165800976931</v>
      </c>
      <c r="Q17" s="57">
        <f ca="1">'All Light Vehicles'!Q17+'Heavy Truck'!Q17+'Heavy Bus'!Q17+Motorcycle!Q17</f>
        <v>640.54199849531255</v>
      </c>
    </row>
    <row r="18" spans="3:17" ht="15.5" x14ac:dyDescent="0.35">
      <c r="C18" s="24" t="s">
        <v>11</v>
      </c>
      <c r="D18" s="55">
        <f>'All Light Vehicles'!D18+'Heavy Truck'!D18+'Heavy Bus'!D18+Motorcycle!D18</f>
        <v>5283.443051128831</v>
      </c>
      <c r="E18" s="56">
        <f>'All Light Vehicles'!E18+'Heavy Truck'!E18+'Heavy Bus'!E18+Motorcycle!E18</f>
        <v>5579.8030869436734</v>
      </c>
      <c r="F18" s="56">
        <f>'All Light Vehicles'!F18+'Heavy Truck'!F18+'Heavy Bus'!F18+Motorcycle!F18</f>
        <v>5861.4093487973969</v>
      </c>
      <c r="G18" s="56">
        <f>'All Light Vehicles'!G18+'Heavy Truck'!G18+'Heavy Bus'!G18+Motorcycle!G18</f>
        <v>6211.0460339385791</v>
      </c>
      <c r="H18" s="56">
        <f>'All Light Vehicles'!H18+'Heavy Truck'!H18+'Heavy Bus'!H18+Motorcycle!H18</f>
        <v>6271.9855690169952</v>
      </c>
      <c r="I18" s="56">
        <f>'All Light Vehicles'!I18+'Heavy Truck'!I18+'Heavy Bus'!I18+Motorcycle!I18</f>
        <v>6646.1861015676486</v>
      </c>
      <c r="J18" s="56">
        <f ca="1">'All Light Vehicles'!J18+'Heavy Truck'!J18+'Heavy Bus'!J18+Motorcycle!J18</f>
        <v>7328.7184190628277</v>
      </c>
      <c r="K18" s="56">
        <f ca="1">'All Light Vehicles'!K18+'Heavy Truck'!K18+'Heavy Bus'!K18+Motorcycle!K18</f>
        <v>7918.4523758120513</v>
      </c>
      <c r="L18" s="56">
        <f ca="1">'All Light Vehicles'!L18+'Heavy Truck'!L18+'Heavy Bus'!L18+Motorcycle!L18</f>
        <v>8491.3054160828069</v>
      </c>
      <c r="M18" s="56">
        <f ca="1">'All Light Vehicles'!M18+'Heavy Truck'!M18+'Heavy Bus'!M18+Motorcycle!M18</f>
        <v>9027.3334748536035</v>
      </c>
      <c r="N18" s="56">
        <f ca="1">'All Light Vehicles'!N18+'Heavy Truck'!N18+'Heavy Bus'!N18+Motorcycle!N18</f>
        <v>9574.8266642867966</v>
      </c>
      <c r="O18" s="56">
        <f ca="1">'All Light Vehicles'!O18+'Heavy Truck'!O18+'Heavy Bus'!O18+Motorcycle!O18</f>
        <v>10143.18582579105</v>
      </c>
      <c r="P18" s="56">
        <f ca="1">'All Light Vehicles'!P18+'Heavy Truck'!P18+'Heavy Bus'!P18+Motorcycle!P18</f>
        <v>10710.612625310343</v>
      </c>
      <c r="Q18" s="57">
        <f ca="1">'All Light Vehicles'!Q18+'Heavy Truck'!Q18+'Heavy Bus'!Q18+Motorcycle!Q18</f>
        <v>11270.189295233627</v>
      </c>
    </row>
    <row r="19" spans="3:17" ht="15.5" x14ac:dyDescent="0.35">
      <c r="C19" s="24" t="s">
        <v>12</v>
      </c>
      <c r="D19" s="55">
        <f>'All Light Vehicles'!D19+'Heavy Truck'!D19+'Heavy Bus'!D19+Motorcycle!D19</f>
        <v>2120.2818548333039</v>
      </c>
      <c r="E19" s="56">
        <f>'All Light Vehicles'!E19+'Heavy Truck'!E19+'Heavy Bus'!E19+Motorcycle!E19</f>
        <v>2199.3215441845468</v>
      </c>
      <c r="F19" s="56">
        <f>'All Light Vehicles'!F19+'Heavy Truck'!F19+'Heavy Bus'!F19+Motorcycle!F19</f>
        <v>2284.3397164209373</v>
      </c>
      <c r="G19" s="56">
        <f>'All Light Vehicles'!G19+'Heavy Truck'!G19+'Heavy Bus'!G19+Motorcycle!G19</f>
        <v>2382.1898569645441</v>
      </c>
      <c r="H19" s="56">
        <f>'All Light Vehicles'!H19+'Heavy Truck'!H19+'Heavy Bus'!H19+Motorcycle!H19</f>
        <v>2488.9595210479411</v>
      </c>
      <c r="I19" s="56">
        <f>'All Light Vehicles'!I19+'Heavy Truck'!I19+'Heavy Bus'!I19+Motorcycle!I19</f>
        <v>2723.9993161880661</v>
      </c>
      <c r="J19" s="56">
        <f ca="1">'All Light Vehicles'!J19+'Heavy Truck'!J19+'Heavy Bus'!J19+Motorcycle!J19</f>
        <v>2996.3702196763347</v>
      </c>
      <c r="K19" s="56">
        <f ca="1">'All Light Vehicles'!K19+'Heavy Truck'!K19+'Heavy Bus'!K19+Motorcycle!K19</f>
        <v>3218.4613765048539</v>
      </c>
      <c r="L19" s="56">
        <f ca="1">'All Light Vehicles'!L19+'Heavy Truck'!L19+'Heavy Bus'!L19+Motorcycle!L19</f>
        <v>3432.4243482745592</v>
      </c>
      <c r="M19" s="56">
        <f ca="1">'All Light Vehicles'!M19+'Heavy Truck'!M19+'Heavy Bus'!M19+Motorcycle!M19</f>
        <v>3625.4503930315664</v>
      </c>
      <c r="N19" s="56">
        <f ca="1">'All Light Vehicles'!N19+'Heavy Truck'!N19+'Heavy Bus'!N19+Motorcycle!N19</f>
        <v>3821.4875534368161</v>
      </c>
      <c r="O19" s="56">
        <f ca="1">'All Light Vehicles'!O19+'Heavy Truck'!O19+'Heavy Bus'!O19+Motorcycle!O19</f>
        <v>4025.9276393879027</v>
      </c>
      <c r="P19" s="56">
        <f ca="1">'All Light Vehicles'!P19+'Heavy Truck'!P19+'Heavy Bus'!P19+Motorcycle!P19</f>
        <v>4227.5453312620357</v>
      </c>
      <c r="Q19" s="57">
        <f ca="1">'All Light Vehicles'!Q19+'Heavy Truck'!Q19+'Heavy Bus'!Q19+Motorcycle!Q19</f>
        <v>4424.1463117587864</v>
      </c>
    </row>
    <row r="20" spans="3:17" ht="16" thickBot="1" x14ac:dyDescent="0.4">
      <c r="C20" s="25" t="s">
        <v>13</v>
      </c>
      <c r="D20" s="58">
        <f>'All Light Vehicles'!D20+'Heavy Truck'!D20+'Heavy Bus'!D20+Motorcycle!D20</f>
        <v>1094.3333164624103</v>
      </c>
      <c r="E20" s="59">
        <f>'All Light Vehicles'!E20+'Heavy Truck'!E20+'Heavy Bus'!E20+Motorcycle!E20</f>
        <v>1126.3475292882101</v>
      </c>
      <c r="F20" s="59">
        <f>'All Light Vehicles'!F20+'Heavy Truck'!F20+'Heavy Bus'!F20+Motorcycle!F20</f>
        <v>1095.2041423691005</v>
      </c>
      <c r="G20" s="59">
        <f>'All Light Vehicles'!G20+'Heavy Truck'!G20+'Heavy Bus'!G20+Motorcycle!G20</f>
        <v>1231.5681044048001</v>
      </c>
      <c r="H20" s="59">
        <f>'All Light Vehicles'!H20+'Heavy Truck'!H20+'Heavy Bus'!H20+Motorcycle!H20</f>
        <v>1262.3968192333227</v>
      </c>
      <c r="I20" s="59">
        <f>'All Light Vehicles'!I20+'Heavy Truck'!I20+'Heavy Bus'!I20+Motorcycle!I20</f>
        <v>1309.1740270201863</v>
      </c>
      <c r="J20" s="59">
        <f ca="1">'All Light Vehicles'!J20+'Heavy Truck'!J20+'Heavy Bus'!J20+Motorcycle!J20</f>
        <v>1356.3005718129104</v>
      </c>
      <c r="K20" s="59">
        <f ca="1">'All Light Vehicles'!K20+'Heavy Truck'!K20+'Heavy Bus'!K20+Motorcycle!K20</f>
        <v>1394.5770453775037</v>
      </c>
      <c r="L20" s="59">
        <f ca="1">'All Light Vehicles'!L20+'Heavy Truck'!L20+'Heavy Bus'!L20+Motorcycle!L20</f>
        <v>1426.3870452615429</v>
      </c>
      <c r="M20" s="59">
        <f ca="1">'All Light Vehicles'!M20+'Heavy Truck'!M20+'Heavy Bus'!M20+Motorcycle!M20</f>
        <v>1442.1796516194768</v>
      </c>
      <c r="N20" s="59">
        <f ca="1">'All Light Vehicles'!N20+'Heavy Truck'!N20+'Heavy Bus'!N20+Motorcycle!N20</f>
        <v>1455.6176040976879</v>
      </c>
      <c r="O20" s="59">
        <f ca="1">'All Light Vehicles'!O20+'Heavy Truck'!O20+'Heavy Bus'!O20+Motorcycle!O20</f>
        <v>1468.3882678169132</v>
      </c>
      <c r="P20" s="59">
        <f ca="1">'All Light Vehicles'!P20+'Heavy Truck'!P20+'Heavy Bus'!P20+Motorcycle!P20</f>
        <v>1476.9580287938304</v>
      </c>
      <c r="Q20" s="60">
        <f ca="1">'All Light Vehicles'!Q20+'Heavy Truck'!Q20+'Heavy Bus'!Q20+Motorcycle!Q20</f>
        <v>1481.2164765384791</v>
      </c>
    </row>
    <row r="21" spans="3:17" ht="16.5" thickTop="1" thickBot="1" x14ac:dyDescent="0.4">
      <c r="C21" s="31" t="s">
        <v>24</v>
      </c>
      <c r="D21" s="61">
        <f t="shared" ref="D21:N21" si="0">SUM(D7:D20)</f>
        <v>40430.521593400001</v>
      </c>
      <c r="E21" s="62">
        <f t="shared" si="0"/>
        <v>41375.093957280005</v>
      </c>
      <c r="F21" s="62">
        <f t="shared" si="0"/>
        <v>42690.807602500012</v>
      </c>
      <c r="G21" s="62">
        <f t="shared" ref="G21:H21" si="1">SUM(G7:G20)</f>
        <v>44500.683306729981</v>
      </c>
      <c r="H21" s="62">
        <f t="shared" si="1"/>
        <v>46243.37626588998</v>
      </c>
      <c r="I21" s="62">
        <f t="shared" si="0"/>
        <v>48135.947529149991</v>
      </c>
      <c r="J21" s="62">
        <f t="shared" ca="1" si="0"/>
        <v>52018.923897392364</v>
      </c>
      <c r="K21" s="62">
        <f t="shared" ca="1" si="0"/>
        <v>55342.442365344999</v>
      </c>
      <c r="L21" s="62">
        <f t="shared" ca="1" si="0"/>
        <v>58535.178203272953</v>
      </c>
      <c r="M21" s="62">
        <f t="shared" ca="1" si="0"/>
        <v>61318.264955034669</v>
      </c>
      <c r="N21" s="62">
        <f t="shared" ca="1" si="0"/>
        <v>64093.255683207593</v>
      </c>
      <c r="O21" s="62">
        <f t="shared" ref="O21:Q21" ca="1" si="2">SUM(O7:O20)</f>
        <v>66973.06304976721</v>
      </c>
      <c r="P21" s="62">
        <f t="shared" ca="1" si="2"/>
        <v>69777.597323251277</v>
      </c>
      <c r="Q21" s="63">
        <f t="shared" ca="1" si="2"/>
        <v>72475.514947265823</v>
      </c>
    </row>
    <row r="22" spans="3:17" ht="13" thickTop="1" x14ac:dyDescent="0.25"/>
    <row r="23" spans="3:17" ht="13" thickBot="1" x14ac:dyDescent="0.3"/>
    <row r="24" spans="3:17" ht="16" thickTop="1" x14ac:dyDescent="0.35">
      <c r="C24" s="32" t="s">
        <v>48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3:17" ht="13.5" thickBot="1" x14ac:dyDescent="0.35">
      <c r="C25" s="18"/>
      <c r="D25" s="65" t="s">
        <v>25</v>
      </c>
      <c r="E25" s="65" t="s">
        <v>37</v>
      </c>
      <c r="F25" s="65" t="s">
        <v>38</v>
      </c>
      <c r="G25" s="37" t="s">
        <v>177</v>
      </c>
      <c r="H25" s="37" t="s">
        <v>178</v>
      </c>
      <c r="I25" s="65" t="s">
        <v>26</v>
      </c>
      <c r="J25" s="65" t="s">
        <v>27</v>
      </c>
      <c r="K25" s="65" t="s">
        <v>28</v>
      </c>
      <c r="L25" s="65" t="s">
        <v>29</v>
      </c>
      <c r="M25" s="65" t="s">
        <v>30</v>
      </c>
      <c r="N25" s="65" t="s">
        <v>31</v>
      </c>
      <c r="O25" s="37" t="s">
        <v>174</v>
      </c>
      <c r="P25" s="37" t="s">
        <v>175</v>
      </c>
      <c r="Q25" s="38" t="s">
        <v>176</v>
      </c>
    </row>
    <row r="26" spans="3:17" ht="14" thickTop="1" thickBot="1" x14ac:dyDescent="0.35">
      <c r="C26" s="70"/>
      <c r="D26" s="71" t="s">
        <v>39</v>
      </c>
      <c r="E26" s="71" t="s">
        <v>39</v>
      </c>
      <c r="F26" s="71" t="s">
        <v>39</v>
      </c>
      <c r="G26" s="65" t="s">
        <v>39</v>
      </c>
      <c r="H26" s="65" t="s">
        <v>39</v>
      </c>
      <c r="I26" s="71" t="s">
        <v>39</v>
      </c>
      <c r="J26" s="71" t="s">
        <v>32</v>
      </c>
      <c r="K26" s="71" t="s">
        <v>32</v>
      </c>
      <c r="L26" s="71" t="s">
        <v>32</v>
      </c>
      <c r="M26" s="71" t="s">
        <v>32</v>
      </c>
      <c r="N26" s="71" t="s">
        <v>32</v>
      </c>
      <c r="O26" s="65" t="s">
        <v>32</v>
      </c>
      <c r="P26" s="65" t="s">
        <v>32</v>
      </c>
      <c r="Q26" s="66" t="s">
        <v>32</v>
      </c>
    </row>
    <row r="27" spans="3:17" ht="16.5" thickTop="1" thickBot="1" x14ac:dyDescent="0.4">
      <c r="C27" s="20" t="s">
        <v>24</v>
      </c>
      <c r="D27" s="48">
        <f>'All Light Vehicles'!D42+'Heavy Truck'!D28+'Heavy Bus'!D28+Motorcycle!D42</f>
        <v>3496589.9999999995</v>
      </c>
      <c r="E27" s="48">
        <f>'All Light Vehicles'!E42+'Heavy Truck'!E28+'Heavy Bus'!E28+Motorcycle!E42</f>
        <v>3601758</v>
      </c>
      <c r="F27" s="48">
        <f>'All Light Vehicles'!F42+'Heavy Truck'!F28+'Heavy Bus'!F28+Motorcycle!F42</f>
        <v>3740660.9999999995</v>
      </c>
      <c r="G27" s="48">
        <f>'All Light Vehicles'!G42+'Heavy Truck'!G28+'Heavy Bus'!G28+Motorcycle!G42</f>
        <v>3894357.9999999995</v>
      </c>
      <c r="H27" s="48">
        <f>'All Light Vehicles'!H42+'Heavy Truck'!H28+'Heavy Bus'!H28+Motorcycle!H42</f>
        <v>4064335.0000000005</v>
      </c>
      <c r="I27" s="48">
        <f>'All Light Vehicles'!I42+'Heavy Truck'!I28+'Heavy Bus'!I28+Motorcycle!I42</f>
        <v>4219835</v>
      </c>
      <c r="J27" s="48">
        <f ca="1">'All Light Vehicles'!J42+'Heavy Truck'!J28+'Heavy Bus'!J28+Motorcycle!J42</f>
        <v>4619509.5572000863</v>
      </c>
      <c r="K27" s="48">
        <f ca="1">'All Light Vehicles'!K42+'Heavy Truck'!K28+'Heavy Bus'!K28+Motorcycle!K42</f>
        <v>4706486.4814337101</v>
      </c>
      <c r="L27" s="48">
        <f ca="1">'All Light Vehicles'!L42+'Heavy Truck'!L28+'Heavy Bus'!L28+Motorcycle!L42</f>
        <v>4738515.0445545968</v>
      </c>
      <c r="M27" s="48">
        <f ca="1">'All Light Vehicles'!M42+'Heavy Truck'!M28+'Heavy Bus'!M28+Motorcycle!M42</f>
        <v>4714122.0588409882</v>
      </c>
      <c r="N27" s="48">
        <f ca="1">'All Light Vehicles'!N42+'Heavy Truck'!N28+'Heavy Bus'!N28+Motorcycle!N42</f>
        <v>4672936.0258690082</v>
      </c>
      <c r="O27" s="48">
        <f ca="1">'All Light Vehicles'!O42+'Heavy Truck'!O28+'Heavy Bus'!O28+Motorcycle!O42</f>
        <v>4582742.5642286036</v>
      </c>
      <c r="P27" s="48">
        <f ca="1">'All Light Vehicles'!P42+'Heavy Truck'!P28+'Heavy Bus'!P28+Motorcycle!P42</f>
        <v>4474222.6864081603</v>
      </c>
      <c r="Q27" s="49">
        <f ca="1">'All Light Vehicles'!Q42+'Heavy Truck'!Q28+'Heavy Bus'!Q28+Motorcycle!Q42</f>
        <v>4347412.9196143523</v>
      </c>
    </row>
    <row r="28" spans="3:17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C3:Q166"/>
  <sheetViews>
    <sheetView topLeftCell="A110" zoomScale="90" zoomScaleNormal="90" workbookViewId="0">
      <selection activeCell="G154" sqref="G154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158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 t="shared" ref="D7:Q21" si="0">D49+D90+D131</f>
        <v>1465.9001788699015</v>
      </c>
      <c r="E7" s="53">
        <f t="shared" si="0"/>
        <v>1542.577036066582</v>
      </c>
      <c r="F7" s="53">
        <f t="shared" si="0"/>
        <v>1594.2837917122906</v>
      </c>
      <c r="G7" s="53">
        <f t="shared" ref="G7:H7" si="1">G49+G90+G131</f>
        <v>1669.2193281241061</v>
      </c>
      <c r="H7" s="53">
        <f t="shared" si="1"/>
        <v>1708.0208376151754</v>
      </c>
      <c r="I7" s="53">
        <f t="shared" si="0"/>
        <v>1894.7122781313735</v>
      </c>
      <c r="J7" s="53">
        <f t="shared" ca="1" si="0"/>
        <v>2026.7130597627165</v>
      </c>
      <c r="K7" s="53">
        <f t="shared" ca="1" si="0"/>
        <v>2145.210710588241</v>
      </c>
      <c r="L7" s="53">
        <f t="shared" ca="1" si="0"/>
        <v>2251.6802158795003</v>
      </c>
      <c r="M7" s="53">
        <f t="shared" ca="1" si="0"/>
        <v>2340.4485713330923</v>
      </c>
      <c r="N7" s="53">
        <f t="shared" ca="1" si="0"/>
        <v>2422.9054401519256</v>
      </c>
      <c r="O7" s="53">
        <f t="shared" ca="1" si="0"/>
        <v>2504.3844504906701</v>
      </c>
      <c r="P7" s="53">
        <f t="shared" ca="1" si="0"/>
        <v>2580.7466531777118</v>
      </c>
      <c r="Q7" s="54">
        <f t="shared" ca="1" si="0"/>
        <v>2651.5824725869588</v>
      </c>
    </row>
    <row r="8" spans="3:17" ht="15.5" x14ac:dyDescent="0.35">
      <c r="C8" s="24" t="s">
        <v>1</v>
      </c>
      <c r="D8" s="55">
        <f t="shared" ref="D8:N8" si="2">D50+D91+D132</f>
        <v>11456.032535185113</v>
      </c>
      <c r="E8" s="56">
        <f t="shared" si="2"/>
        <v>11658.602745396805</v>
      </c>
      <c r="F8" s="56">
        <f t="shared" si="2"/>
        <v>11886.231449157227</v>
      </c>
      <c r="G8" s="56">
        <f t="shared" ref="G8:H8" si="3">G50+G91+G132</f>
        <v>12217.713823559432</v>
      </c>
      <c r="H8" s="56">
        <f t="shared" si="3"/>
        <v>12750.927489676304</v>
      </c>
      <c r="I8" s="56">
        <f t="shared" si="2"/>
        <v>12730.103649909999</v>
      </c>
      <c r="J8" s="56">
        <f t="shared" ca="1" si="2"/>
        <v>13880.234578601232</v>
      </c>
      <c r="K8" s="56">
        <f t="shared" ca="1" si="2"/>
        <v>14909.194792026437</v>
      </c>
      <c r="L8" s="56">
        <f t="shared" ca="1" si="2"/>
        <v>15970.464402356549</v>
      </c>
      <c r="M8" s="56">
        <f t="shared" ca="1" si="2"/>
        <v>16959.762775672883</v>
      </c>
      <c r="N8" s="56">
        <f t="shared" ca="1" si="2"/>
        <v>17970.944415094811</v>
      </c>
      <c r="O8" s="56">
        <f t="shared" ca="1" si="0"/>
        <v>19022.76291615457</v>
      </c>
      <c r="P8" s="56">
        <f t="shared" ca="1" si="0"/>
        <v>20067.688040399393</v>
      </c>
      <c r="Q8" s="57">
        <f t="shared" ca="1" si="0"/>
        <v>21090.198433840393</v>
      </c>
    </row>
    <row r="9" spans="3:17" ht="15.5" x14ac:dyDescent="0.35">
      <c r="C9" s="24" t="s">
        <v>2</v>
      </c>
      <c r="D9" s="55">
        <f t="shared" ref="D9:N9" si="4">D51+D92+D133</f>
        <v>4736.0314982125001</v>
      </c>
      <c r="E9" s="56">
        <f t="shared" si="4"/>
        <v>4664.7571808219627</v>
      </c>
      <c r="F9" s="56">
        <f t="shared" si="4"/>
        <v>4887.2130310719922</v>
      </c>
      <c r="G9" s="56">
        <f t="shared" ref="G9:H9" si="5">G51+G92+G133</f>
        <v>5164.2455879200506</v>
      </c>
      <c r="H9" s="56">
        <f t="shared" si="5"/>
        <v>5467.3405339500423</v>
      </c>
      <c r="I9" s="56">
        <f t="shared" si="4"/>
        <v>5913.5987785565785</v>
      </c>
      <c r="J9" s="56">
        <f t="shared" ca="1" si="4"/>
        <v>6360.0511826687052</v>
      </c>
      <c r="K9" s="56">
        <f t="shared" ca="1" si="4"/>
        <v>6760.0068555617981</v>
      </c>
      <c r="L9" s="56">
        <f t="shared" ca="1" si="4"/>
        <v>7130.6978270121253</v>
      </c>
      <c r="M9" s="56">
        <f t="shared" ca="1" si="4"/>
        <v>7450.3826423395603</v>
      </c>
      <c r="N9" s="56">
        <f t="shared" ca="1" si="4"/>
        <v>7760.8407596258076</v>
      </c>
      <c r="O9" s="56">
        <f t="shared" ca="1" si="0"/>
        <v>8070.1737389932314</v>
      </c>
      <c r="P9" s="56">
        <f t="shared" ca="1" si="0"/>
        <v>8361.4994560074065</v>
      </c>
      <c r="Q9" s="57">
        <f t="shared" ca="1" si="0"/>
        <v>8631.3673209862336</v>
      </c>
    </row>
    <row r="10" spans="3:17" ht="15.5" x14ac:dyDescent="0.35">
      <c r="C10" s="24" t="s">
        <v>3</v>
      </c>
      <c r="D10" s="55">
        <f t="shared" ref="D10:N10" si="6">D52+D93+D134</f>
        <v>2367.2609167102041</v>
      </c>
      <c r="E10" s="56">
        <f t="shared" si="6"/>
        <v>2461.6362214981746</v>
      </c>
      <c r="F10" s="56">
        <f t="shared" si="6"/>
        <v>2479.2661163010935</v>
      </c>
      <c r="G10" s="56">
        <f t="shared" ref="G10:H10" si="7">G52+G93+G134</f>
        <v>2578.5851118006385</v>
      </c>
      <c r="H10" s="56">
        <f t="shared" si="7"/>
        <v>2933.2001445744299</v>
      </c>
      <c r="I10" s="56">
        <f t="shared" si="6"/>
        <v>2996.0382106801976</v>
      </c>
      <c r="J10" s="56">
        <f t="shared" ca="1" si="6"/>
        <v>3192.9491238204223</v>
      </c>
      <c r="K10" s="56">
        <f t="shared" ca="1" si="6"/>
        <v>3368.4214646941459</v>
      </c>
      <c r="L10" s="56">
        <f t="shared" ca="1" si="6"/>
        <v>3527.020144133824</v>
      </c>
      <c r="M10" s="56">
        <f t="shared" ca="1" si="6"/>
        <v>3657.0711138268057</v>
      </c>
      <c r="N10" s="56">
        <f t="shared" ca="1" si="6"/>
        <v>3780.982807024815</v>
      </c>
      <c r="O10" s="56">
        <f t="shared" ca="1" si="0"/>
        <v>3901.8194308198345</v>
      </c>
      <c r="P10" s="56">
        <f t="shared" ca="1" si="0"/>
        <v>4011.8881309650496</v>
      </c>
      <c r="Q10" s="57">
        <f t="shared" ca="1" si="0"/>
        <v>4109.8395641888555</v>
      </c>
    </row>
    <row r="11" spans="3:17" ht="15.5" x14ac:dyDescent="0.35">
      <c r="C11" s="24" t="s">
        <v>4</v>
      </c>
      <c r="D11" s="55">
        <f t="shared" ref="D11:N11" si="8">D53+D94+D135</f>
        <v>337.84405488217305</v>
      </c>
      <c r="E11" s="56">
        <f t="shared" si="8"/>
        <v>342.66695755799697</v>
      </c>
      <c r="F11" s="56">
        <f t="shared" si="8"/>
        <v>360.38298607666002</v>
      </c>
      <c r="G11" s="56">
        <f t="shared" ref="G11:H11" si="9">G53+G94+G135</f>
        <v>373.70726479904835</v>
      </c>
      <c r="H11" s="56">
        <f t="shared" si="9"/>
        <v>366.07324288196833</v>
      </c>
      <c r="I11" s="56">
        <f t="shared" si="8"/>
        <v>382.374313616275</v>
      </c>
      <c r="J11" s="56">
        <f t="shared" ca="1" si="8"/>
        <v>396.99582086951654</v>
      </c>
      <c r="K11" s="56">
        <f t="shared" ca="1" si="8"/>
        <v>410.34266197765947</v>
      </c>
      <c r="L11" s="56">
        <f t="shared" ca="1" si="8"/>
        <v>421.3619612420797</v>
      </c>
      <c r="M11" s="56">
        <f t="shared" ca="1" si="8"/>
        <v>428.1444067358147</v>
      </c>
      <c r="N11" s="56">
        <f t="shared" ca="1" si="8"/>
        <v>434.09046720040703</v>
      </c>
      <c r="O11" s="56">
        <f t="shared" ca="1" si="0"/>
        <v>439.60485064460141</v>
      </c>
      <c r="P11" s="56">
        <f t="shared" ca="1" si="0"/>
        <v>443.63306073690785</v>
      </c>
      <c r="Q11" s="57">
        <f t="shared" ca="1" si="0"/>
        <v>446.11437751490018</v>
      </c>
    </row>
    <row r="12" spans="3:17" ht="15.5" x14ac:dyDescent="0.35">
      <c r="C12" s="24" t="s">
        <v>5</v>
      </c>
      <c r="D12" s="55">
        <f t="shared" ref="D12:N12" si="10">D54+D95+D136</f>
        <v>1299.1644269156866</v>
      </c>
      <c r="E12" s="56">
        <f t="shared" si="10"/>
        <v>1299.3447856024943</v>
      </c>
      <c r="F12" s="56">
        <f t="shared" si="10"/>
        <v>1364.7269388919881</v>
      </c>
      <c r="G12" s="56">
        <f t="shared" ref="G12:H12" si="11">G54+G95+G136</f>
        <v>1435.8468313325827</v>
      </c>
      <c r="H12" s="56">
        <f t="shared" si="11"/>
        <v>1492.4432562835455</v>
      </c>
      <c r="I12" s="56">
        <f t="shared" si="10"/>
        <v>1540.2705844871189</v>
      </c>
      <c r="J12" s="56">
        <f t="shared" ca="1" si="10"/>
        <v>1640.0542035897267</v>
      </c>
      <c r="K12" s="56">
        <f t="shared" ca="1" si="10"/>
        <v>1730.0439739065496</v>
      </c>
      <c r="L12" s="56">
        <f t="shared" ca="1" si="10"/>
        <v>1811.6930593800826</v>
      </c>
      <c r="M12" s="56">
        <f t="shared" ca="1" si="10"/>
        <v>1880.3793601027592</v>
      </c>
      <c r="N12" s="56">
        <f t="shared" ca="1" si="10"/>
        <v>1948.142844740019</v>
      </c>
      <c r="O12" s="56">
        <f t="shared" ca="1" si="0"/>
        <v>2016.5382201539649</v>
      </c>
      <c r="P12" s="56">
        <f t="shared" ca="1" si="0"/>
        <v>2081.307749475925</v>
      </c>
      <c r="Q12" s="57">
        <f t="shared" ca="1" si="0"/>
        <v>2141.8612351211395</v>
      </c>
    </row>
    <row r="13" spans="3:17" ht="15.5" x14ac:dyDescent="0.35">
      <c r="C13" s="24" t="s">
        <v>6</v>
      </c>
      <c r="D13" s="55">
        <f t="shared" ref="D13:N13" si="12">D55+D96+D137</f>
        <v>901.13286110877527</v>
      </c>
      <c r="E13" s="56">
        <f t="shared" si="12"/>
        <v>928.77839405858629</v>
      </c>
      <c r="F13" s="56">
        <f t="shared" si="12"/>
        <v>966.1067400862222</v>
      </c>
      <c r="G13" s="56">
        <f t="shared" ref="G13:H13" si="13">G55+G96+G137</f>
        <v>1004.8171384902989</v>
      </c>
      <c r="H13" s="56">
        <f t="shared" si="13"/>
        <v>1033.9423409358722</v>
      </c>
      <c r="I13" s="56">
        <f t="shared" si="12"/>
        <v>1071.4473855802905</v>
      </c>
      <c r="J13" s="56">
        <f t="shared" ca="1" si="12"/>
        <v>1147.0970759959152</v>
      </c>
      <c r="K13" s="56">
        <f t="shared" ca="1" si="12"/>
        <v>1215.8682646934008</v>
      </c>
      <c r="L13" s="56">
        <f t="shared" ca="1" si="12"/>
        <v>1280.8217285248484</v>
      </c>
      <c r="M13" s="56">
        <f t="shared" ca="1" si="12"/>
        <v>1337.2012756205118</v>
      </c>
      <c r="N13" s="56">
        <f t="shared" ca="1" si="12"/>
        <v>1392.9342919422975</v>
      </c>
      <c r="O13" s="56">
        <f t="shared" ca="1" si="0"/>
        <v>1449.0535631601574</v>
      </c>
      <c r="P13" s="56">
        <f t="shared" ca="1" si="0"/>
        <v>1502.9330509152446</v>
      </c>
      <c r="Q13" s="57">
        <f t="shared" ca="1" si="0"/>
        <v>1554.3267680982458</v>
      </c>
    </row>
    <row r="14" spans="3:17" ht="15.5" x14ac:dyDescent="0.35">
      <c r="C14" s="24" t="s">
        <v>7</v>
      </c>
      <c r="D14" s="55">
        <f t="shared" ref="D14:N14" si="14">D56+D97+D138</f>
        <v>2098.4702717037394</v>
      </c>
      <c r="E14" s="56">
        <f t="shared" si="14"/>
        <v>2132.7435761949328</v>
      </c>
      <c r="F14" s="56">
        <f t="shared" si="14"/>
        <v>2182.0577739367818</v>
      </c>
      <c r="G14" s="56">
        <f t="shared" ref="G14:H14" si="15">G56+G97+G138</f>
        <v>2296.8826558480814</v>
      </c>
      <c r="H14" s="56">
        <f t="shared" si="15"/>
        <v>2364.9601664571501</v>
      </c>
      <c r="I14" s="56">
        <f t="shared" si="14"/>
        <v>2390.8669396306518</v>
      </c>
      <c r="J14" s="56">
        <f t="shared" ca="1" si="14"/>
        <v>2510.43862893191</v>
      </c>
      <c r="K14" s="56">
        <f t="shared" ca="1" si="14"/>
        <v>2617.5652155034882</v>
      </c>
      <c r="L14" s="56">
        <f t="shared" ca="1" si="14"/>
        <v>2709.9359794005177</v>
      </c>
      <c r="M14" s="56">
        <f t="shared" ca="1" si="14"/>
        <v>2779.8455714890292</v>
      </c>
      <c r="N14" s="56">
        <f t="shared" ca="1" si="14"/>
        <v>2842.476917113841</v>
      </c>
      <c r="O14" s="56">
        <f t="shared" ca="1" si="0"/>
        <v>2903.85602569615</v>
      </c>
      <c r="P14" s="56">
        <f t="shared" ca="1" si="0"/>
        <v>2957.989235885485</v>
      </c>
      <c r="Q14" s="57">
        <f t="shared" ca="1" si="0"/>
        <v>3004.5953892079242</v>
      </c>
    </row>
    <row r="15" spans="3:17" ht="15.5" x14ac:dyDescent="0.35">
      <c r="C15" s="24" t="s">
        <v>8</v>
      </c>
      <c r="D15" s="55">
        <f t="shared" ref="D15:N15" si="16">D57+D98+D139</f>
        <v>3192.5352082107593</v>
      </c>
      <c r="E15" s="56">
        <f t="shared" si="16"/>
        <v>3262.1054527371248</v>
      </c>
      <c r="F15" s="56">
        <f t="shared" si="16"/>
        <v>3506.0921557604993</v>
      </c>
      <c r="G15" s="56">
        <f t="shared" ref="G15:H15" si="17">G57+G98+G139</f>
        <v>3433.8432317825354</v>
      </c>
      <c r="H15" s="56">
        <f t="shared" si="17"/>
        <v>3429.4907148351572</v>
      </c>
      <c r="I15" s="56">
        <f t="shared" si="16"/>
        <v>3596.5349386357393</v>
      </c>
      <c r="J15" s="56">
        <f t="shared" ca="1" si="16"/>
        <v>3867.9829614403593</v>
      </c>
      <c r="K15" s="56">
        <f t="shared" ca="1" si="16"/>
        <v>4118.3045899895515</v>
      </c>
      <c r="L15" s="56">
        <f t="shared" ca="1" si="16"/>
        <v>4356.4485948345782</v>
      </c>
      <c r="M15" s="56">
        <f t="shared" ca="1" si="16"/>
        <v>4566.1052078883158</v>
      </c>
      <c r="N15" s="56">
        <f t="shared" ca="1" si="16"/>
        <v>4772.3198240612428</v>
      </c>
      <c r="O15" s="56">
        <f t="shared" ca="1" si="0"/>
        <v>4981.9805548701697</v>
      </c>
      <c r="P15" s="56">
        <f t="shared" ca="1" si="0"/>
        <v>5184.3925009225723</v>
      </c>
      <c r="Q15" s="57">
        <f t="shared" ca="1" si="0"/>
        <v>5378.1643754917004</v>
      </c>
    </row>
    <row r="16" spans="3:17" ht="15.5" x14ac:dyDescent="0.35">
      <c r="C16" s="24" t="s">
        <v>9</v>
      </c>
      <c r="D16" s="55">
        <f t="shared" ref="D16:N16" si="18">D58+D99+D140</f>
        <v>1147.899956867187</v>
      </c>
      <c r="E16" s="56">
        <f t="shared" si="18"/>
        <v>1169.8650359152091</v>
      </c>
      <c r="F16" s="56">
        <f t="shared" si="18"/>
        <v>1121.7235435958335</v>
      </c>
      <c r="G16" s="56">
        <f t="shared" ref="G16:H16" si="19">G58+G99+G140</f>
        <v>1312.1780976948098</v>
      </c>
      <c r="H16" s="56">
        <f t="shared" si="19"/>
        <v>1367.276777376818</v>
      </c>
      <c r="I16" s="56">
        <f t="shared" si="18"/>
        <v>1471.3249738391464</v>
      </c>
      <c r="J16" s="56">
        <f t="shared" ca="1" si="18"/>
        <v>1549.5263202252147</v>
      </c>
      <c r="K16" s="56">
        <f t="shared" ca="1" si="18"/>
        <v>1621.3476919421685</v>
      </c>
      <c r="L16" s="56">
        <f t="shared" ca="1" si="18"/>
        <v>1684.2149756625456</v>
      </c>
      <c r="M16" s="56">
        <f t="shared" ca="1" si="18"/>
        <v>1733.4660528852753</v>
      </c>
      <c r="N16" s="56">
        <f t="shared" ca="1" si="18"/>
        <v>1776.7522873857647</v>
      </c>
      <c r="O16" s="56">
        <f t="shared" ca="1" si="0"/>
        <v>1818.7596767217383</v>
      </c>
      <c r="P16" s="56">
        <f t="shared" ca="1" si="0"/>
        <v>1855.1169085053521</v>
      </c>
      <c r="Q16" s="57">
        <f t="shared" ca="1" si="0"/>
        <v>1885.1166120767002</v>
      </c>
    </row>
    <row r="17" spans="3:17" ht="15.5" x14ac:dyDescent="0.35">
      <c r="C17" s="24" t="s">
        <v>10</v>
      </c>
      <c r="D17" s="55">
        <f t="shared" ref="D17:N17" si="20">D59+D100+D141</f>
        <v>435.61913494904485</v>
      </c>
      <c r="E17" s="56">
        <f t="shared" si="20"/>
        <v>435.75887383333128</v>
      </c>
      <c r="F17" s="56">
        <f t="shared" si="20"/>
        <v>465.86554465516542</v>
      </c>
      <c r="G17" s="56">
        <f t="shared" ref="G17:H17" si="21">G59+G100+G141</f>
        <v>489.25882751508306</v>
      </c>
      <c r="H17" s="56">
        <f t="shared" si="21"/>
        <v>505.67249632913251</v>
      </c>
      <c r="I17" s="56">
        <f t="shared" si="20"/>
        <v>551.60259031128521</v>
      </c>
      <c r="J17" s="56">
        <f t="shared" ca="1" si="20"/>
        <v>563.50285311148627</v>
      </c>
      <c r="K17" s="56">
        <f t="shared" ca="1" si="20"/>
        <v>572.99197446294545</v>
      </c>
      <c r="L17" s="56">
        <f t="shared" ca="1" si="20"/>
        <v>578.69176428835044</v>
      </c>
      <c r="M17" s="56">
        <f t="shared" ca="1" si="20"/>
        <v>579.32063931485823</v>
      </c>
      <c r="N17" s="56">
        <f t="shared" ca="1" si="20"/>
        <v>579.02473575268641</v>
      </c>
      <c r="O17" s="56">
        <f t="shared" ca="1" si="0"/>
        <v>577.87945393188306</v>
      </c>
      <c r="P17" s="56">
        <f t="shared" ca="1" si="0"/>
        <v>574.71846389210509</v>
      </c>
      <c r="Q17" s="57">
        <f t="shared" ca="1" si="0"/>
        <v>569.51348847430177</v>
      </c>
    </row>
    <row r="18" spans="3:17" ht="15.5" x14ac:dyDescent="0.35">
      <c r="C18" s="24" t="s">
        <v>11</v>
      </c>
      <c r="D18" s="55">
        <f t="shared" ref="D18:N18" si="22">D60+D101+D142</f>
        <v>4808.4737206601103</v>
      </c>
      <c r="E18" s="56">
        <f t="shared" si="22"/>
        <v>5072.3404656229995</v>
      </c>
      <c r="F18" s="56">
        <f t="shared" si="22"/>
        <v>5327.6388952680099</v>
      </c>
      <c r="G18" s="56">
        <f t="shared" ref="G18:H18" si="23">G60+G101+G142</f>
        <v>5655.8341077913265</v>
      </c>
      <c r="H18" s="56">
        <f t="shared" si="23"/>
        <v>5721.600354637043</v>
      </c>
      <c r="I18" s="56">
        <f t="shared" si="22"/>
        <v>6070.9859179753375</v>
      </c>
      <c r="J18" s="56">
        <f t="shared" ca="1" si="22"/>
        <v>6695.4623511170685</v>
      </c>
      <c r="K18" s="56">
        <f t="shared" ca="1" si="22"/>
        <v>7253.2817464432665</v>
      </c>
      <c r="L18" s="56">
        <f t="shared" ca="1" si="22"/>
        <v>7796.9397310719905</v>
      </c>
      <c r="M18" s="56">
        <f t="shared" ca="1" si="22"/>
        <v>8310.026754778919</v>
      </c>
      <c r="N18" s="56">
        <f t="shared" ca="1" si="22"/>
        <v>8834.8262628584707</v>
      </c>
      <c r="O18" s="56">
        <f t="shared" ca="1" si="0"/>
        <v>9385.6864399446531</v>
      </c>
      <c r="P18" s="56">
        <f t="shared" ca="1" si="0"/>
        <v>9934.4766702818288</v>
      </c>
      <c r="Q18" s="57">
        <f t="shared" ca="1" si="0"/>
        <v>10473.912900094771</v>
      </c>
    </row>
    <row r="19" spans="3:17" ht="15.5" x14ac:dyDescent="0.35">
      <c r="C19" s="24" t="s">
        <v>12</v>
      </c>
      <c r="D19" s="55">
        <f t="shared" ref="D19:N19" si="24">D61+D102+D143</f>
        <v>1946.898417975759</v>
      </c>
      <c r="E19" s="56">
        <f t="shared" si="24"/>
        <v>2019.9481582484377</v>
      </c>
      <c r="F19" s="56">
        <f t="shared" si="24"/>
        <v>2095.921464983895</v>
      </c>
      <c r="G19" s="56">
        <f t="shared" ref="G19:H19" si="25">G61+G102+G143</f>
        <v>2191.9716709463282</v>
      </c>
      <c r="H19" s="56">
        <f t="shared" si="25"/>
        <v>2297.5275188095584</v>
      </c>
      <c r="I19" s="56">
        <f t="shared" si="24"/>
        <v>2506.3590413496563</v>
      </c>
      <c r="J19" s="56">
        <f t="shared" ca="1" si="24"/>
        <v>2752.7530471330501</v>
      </c>
      <c r="K19" s="56">
        <f t="shared" ca="1" si="24"/>
        <v>2963.9552944945895</v>
      </c>
      <c r="L19" s="56">
        <f t="shared" ca="1" si="24"/>
        <v>3167.7728909421603</v>
      </c>
      <c r="M19" s="56">
        <f t="shared" ca="1" si="24"/>
        <v>3354.7125324411768</v>
      </c>
      <c r="N19" s="56">
        <f t="shared" ca="1" si="24"/>
        <v>3544.4049173417202</v>
      </c>
      <c r="O19" s="56">
        <f t="shared" ca="1" si="0"/>
        <v>3740.1673100570906</v>
      </c>
      <c r="P19" s="56">
        <f t="shared" ca="1" si="0"/>
        <v>3932.5819194884771</v>
      </c>
      <c r="Q19" s="57">
        <f t="shared" ca="1" si="0"/>
        <v>4119.2874731890806</v>
      </c>
    </row>
    <row r="20" spans="3:17" ht="16" thickBot="1" x14ac:dyDescent="0.4">
      <c r="C20" s="25" t="s">
        <v>13</v>
      </c>
      <c r="D20" s="58">
        <f t="shared" ref="D20:N20" si="26">D62+D103+D144</f>
        <v>981.04504886168911</v>
      </c>
      <c r="E20" s="59">
        <f t="shared" si="26"/>
        <v>1008.9021959660176</v>
      </c>
      <c r="F20" s="59">
        <f t="shared" si="26"/>
        <v>978.64398653703336</v>
      </c>
      <c r="G20" s="59">
        <f t="shared" ref="G20:H20" si="27">G62+G103+G144</f>
        <v>1100.5153143800753</v>
      </c>
      <c r="H20" s="59">
        <f t="shared" si="27"/>
        <v>1130.2836554633896</v>
      </c>
      <c r="I20" s="59">
        <f t="shared" si="26"/>
        <v>1167.624202283748</v>
      </c>
      <c r="J20" s="59">
        <f t="shared" ca="1" si="26"/>
        <v>1202.2589506629456</v>
      </c>
      <c r="K20" s="59">
        <f t="shared" ca="1" si="26"/>
        <v>1235.0176902671974</v>
      </c>
      <c r="L20" s="59">
        <f t="shared" ca="1" si="26"/>
        <v>1261.7240226252202</v>
      </c>
      <c r="M20" s="59">
        <f t="shared" ca="1" si="26"/>
        <v>1278.1834624540088</v>
      </c>
      <c r="N20" s="59">
        <f t="shared" ca="1" si="26"/>
        <v>1292.0549795206362</v>
      </c>
      <c r="O20" s="59">
        <f t="shared" ca="1" si="0"/>
        <v>1304.2253316601364</v>
      </c>
      <c r="P20" s="59">
        <f t="shared" ca="1" si="0"/>
        <v>1311.883157539799</v>
      </c>
      <c r="Q20" s="60">
        <f t="shared" ca="1" si="0"/>
        <v>1314.8484082554091</v>
      </c>
    </row>
    <row r="21" spans="3:17" ht="16.5" thickTop="1" thickBot="1" x14ac:dyDescent="0.4">
      <c r="C21" s="31" t="s">
        <v>24</v>
      </c>
      <c r="D21" s="61">
        <f t="shared" ref="D21:N21" si="28">SUM(D7:D20)</f>
        <v>37174.308231112649</v>
      </c>
      <c r="E21" s="62">
        <f t="shared" si="28"/>
        <v>38000.027079520652</v>
      </c>
      <c r="F21" s="62">
        <f t="shared" si="0"/>
        <v>39216.15441803469</v>
      </c>
      <c r="G21" s="62">
        <f t="shared" ref="G21:H21" si="29">G63+G104+G145</f>
        <v>40924.618991984396</v>
      </c>
      <c r="H21" s="62">
        <f t="shared" si="29"/>
        <v>42568.759529825598</v>
      </c>
      <c r="I21" s="62">
        <f t="shared" si="28"/>
        <v>44283.843804987395</v>
      </c>
      <c r="J21" s="62">
        <f t="shared" ca="1" si="28"/>
        <v>47786.020157930281</v>
      </c>
      <c r="K21" s="62">
        <f t="shared" ca="1" si="28"/>
        <v>50921.552926551434</v>
      </c>
      <c r="L21" s="62">
        <f t="shared" ca="1" si="28"/>
        <v>53949.467297354364</v>
      </c>
      <c r="M21" s="62">
        <f t="shared" ca="1" si="28"/>
        <v>56655.050366883006</v>
      </c>
      <c r="N21" s="62">
        <f t="shared" ca="1" si="28"/>
        <v>59352.700949814454</v>
      </c>
      <c r="O21" s="62">
        <f t="shared" ref="O21:Q21" ca="1" si="30">SUM(O7:O20)</f>
        <v>62116.891963298847</v>
      </c>
      <c r="P21" s="62">
        <f t="shared" ca="1" si="30"/>
        <v>64800.854998193259</v>
      </c>
      <c r="Q21" s="63">
        <f t="shared" ca="1" si="30"/>
        <v>67370.728819126627</v>
      </c>
    </row>
    <row r="22" spans="3:17" ht="16" thickTop="1" x14ac:dyDescent="0.35">
      <c r="C22" s="131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3:17" x14ac:dyDescent="0.25">
      <c r="N23" s="121"/>
    </row>
    <row r="24" spans="3:17" ht="13" thickBot="1" x14ac:dyDescent="0.3">
      <c r="N24" s="121"/>
    </row>
    <row r="25" spans="3:17" ht="16" thickTop="1" x14ac:dyDescent="0.35">
      <c r="C25" s="32" t="s">
        <v>159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65" t="s">
        <v>37</v>
      </c>
      <c r="F26" s="65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</row>
    <row r="27" spans="3:17" ht="14" thickTop="1" thickBot="1" x14ac:dyDescent="0.3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16" thickTop="1" x14ac:dyDescent="0.35">
      <c r="C28" s="24" t="s">
        <v>0</v>
      </c>
      <c r="D28" s="42">
        <f t="shared" ref="D28:Q41" si="31">D69+D110+D151</f>
        <v>112752.69929219302</v>
      </c>
      <c r="E28" s="43">
        <f t="shared" si="31"/>
        <v>115184.38005796474</v>
      </c>
      <c r="F28" s="43">
        <f t="shared" si="31"/>
        <v>117124.69622642273</v>
      </c>
      <c r="G28" s="43">
        <f t="shared" ref="G28:H28" si="32">G69+G110+G151</f>
        <v>121836.81549470441</v>
      </c>
      <c r="H28" s="43">
        <f t="shared" si="32"/>
        <v>127884.77898514902</v>
      </c>
      <c r="I28" s="43">
        <f t="shared" si="31"/>
        <v>135757.41577295045</v>
      </c>
      <c r="J28" s="43">
        <f t="shared" ca="1" si="31"/>
        <v>147596.07152904809</v>
      </c>
      <c r="K28" s="43">
        <f t="shared" ca="1" si="31"/>
        <v>148998.13766701662</v>
      </c>
      <c r="L28" s="43">
        <f t="shared" ca="1" si="31"/>
        <v>148595.75400843829</v>
      </c>
      <c r="M28" s="43">
        <f t="shared" ca="1" si="31"/>
        <v>146239.28392334975</v>
      </c>
      <c r="N28" s="43">
        <f t="shared" ca="1" si="31"/>
        <v>143198.26444297735</v>
      </c>
      <c r="O28" s="156">
        <f t="shared" ca="1" si="31"/>
        <v>137994.40173851623</v>
      </c>
      <c r="P28" s="156">
        <f t="shared" ca="1" si="31"/>
        <v>132268.75797187357</v>
      </c>
      <c r="Q28" s="157">
        <f t="shared" ca="1" si="31"/>
        <v>126071.98606703675</v>
      </c>
    </row>
    <row r="29" spans="3:17" ht="15.5" x14ac:dyDescent="0.35">
      <c r="C29" s="24" t="s">
        <v>1</v>
      </c>
      <c r="D29" s="42">
        <f t="shared" ref="D29:N29" si="33">D70+D111+D152</f>
        <v>995566.22524327319</v>
      </c>
      <c r="E29" s="43">
        <f t="shared" si="33"/>
        <v>1031177.0909653383</v>
      </c>
      <c r="F29" s="43">
        <f t="shared" si="33"/>
        <v>1091473.5112717948</v>
      </c>
      <c r="G29" s="43">
        <f t="shared" ref="G29:H29" si="34">G70+G111+G152</f>
        <v>1145232.2839828942</v>
      </c>
      <c r="H29" s="43">
        <f t="shared" si="34"/>
        <v>1202277.159020253</v>
      </c>
      <c r="I29" s="43">
        <f t="shared" si="33"/>
        <v>1218183.2687648938</v>
      </c>
      <c r="J29" s="43">
        <f t="shared" ca="1" si="33"/>
        <v>1351846.9356515387</v>
      </c>
      <c r="K29" s="43">
        <f t="shared" ca="1" si="33"/>
        <v>1386468.8815740871</v>
      </c>
      <c r="L29" s="43">
        <f t="shared" ca="1" si="33"/>
        <v>1405218.5702524034</v>
      </c>
      <c r="M29" s="43">
        <f t="shared" ca="1" si="33"/>
        <v>1408942.876943076</v>
      </c>
      <c r="N29" s="43">
        <f t="shared" ca="1" si="33"/>
        <v>1406668.8245349741</v>
      </c>
      <c r="O29" s="159">
        <f t="shared" ca="1" si="31"/>
        <v>1386422.0694929445</v>
      </c>
      <c r="P29" s="159">
        <f t="shared" ca="1" si="31"/>
        <v>1359161.0361207065</v>
      </c>
      <c r="Q29" s="160">
        <f t="shared" ca="1" si="31"/>
        <v>1324358.6044094984</v>
      </c>
    </row>
    <row r="30" spans="3:17" ht="15.5" x14ac:dyDescent="0.35">
      <c r="C30" s="24" t="s">
        <v>2</v>
      </c>
      <c r="D30" s="42">
        <f t="shared" ref="D30:N30" si="35">D71+D112+D153</f>
        <v>301335.92548360315</v>
      </c>
      <c r="E30" s="43">
        <f t="shared" si="35"/>
        <v>312551.14801889047</v>
      </c>
      <c r="F30" s="43">
        <f t="shared" si="35"/>
        <v>323022.69023885415</v>
      </c>
      <c r="G30" s="43">
        <f t="shared" ref="G30:H30" si="36">G71+G112+G153</f>
        <v>336918.61004767573</v>
      </c>
      <c r="H30" s="43">
        <f t="shared" si="36"/>
        <v>351117.84199294203</v>
      </c>
      <c r="I30" s="43">
        <f t="shared" si="35"/>
        <v>351494.16341864987</v>
      </c>
      <c r="J30" s="43">
        <f t="shared" ca="1" si="35"/>
        <v>383998.26052063418</v>
      </c>
      <c r="K30" s="43">
        <f t="shared" ca="1" si="35"/>
        <v>392036.95292458963</v>
      </c>
      <c r="L30" s="43">
        <f t="shared" ca="1" si="35"/>
        <v>395683.41369584471</v>
      </c>
      <c r="M30" s="43">
        <f t="shared" ca="1" si="35"/>
        <v>394449.49605881487</v>
      </c>
      <c r="N30" s="43">
        <f t="shared" ca="1" si="35"/>
        <v>392023.37097574235</v>
      </c>
      <c r="O30" s="159">
        <f t="shared" ca="1" si="31"/>
        <v>384238.46945518878</v>
      </c>
      <c r="P30" s="159">
        <f t="shared" ca="1" si="31"/>
        <v>374918.1181557707</v>
      </c>
      <c r="Q30" s="160">
        <f t="shared" ca="1" si="31"/>
        <v>364115.76733105991</v>
      </c>
    </row>
    <row r="31" spans="3:17" ht="15.5" x14ac:dyDescent="0.35">
      <c r="C31" s="24" t="s">
        <v>3</v>
      </c>
      <c r="D31" s="42">
        <f t="shared" ref="D31:N31" si="37">D72+D113+D154</f>
        <v>229203.54703077467</v>
      </c>
      <c r="E31" s="43">
        <f t="shared" si="37"/>
        <v>235088.14150503452</v>
      </c>
      <c r="F31" s="43">
        <f t="shared" si="37"/>
        <v>241624.06887127433</v>
      </c>
      <c r="G31" s="43">
        <f t="shared" ref="G31:H31" si="38">G72+G113+G154</f>
        <v>253173.76943029795</v>
      </c>
      <c r="H31" s="43">
        <f t="shared" si="38"/>
        <v>265852.81265281246</v>
      </c>
      <c r="I31" s="43">
        <f t="shared" si="37"/>
        <v>272665.60217069916</v>
      </c>
      <c r="J31" s="43">
        <f t="shared" ca="1" si="37"/>
        <v>295487.40788641991</v>
      </c>
      <c r="K31" s="43">
        <f t="shared" ca="1" si="37"/>
        <v>298116.34360865725</v>
      </c>
      <c r="L31" s="43">
        <f t="shared" ca="1" si="37"/>
        <v>297396.95423671318</v>
      </c>
      <c r="M31" s="43">
        <f t="shared" ca="1" si="37"/>
        <v>293183.03067274042</v>
      </c>
      <c r="N31" s="43">
        <f t="shared" ca="1" si="37"/>
        <v>288059.33086482598</v>
      </c>
      <c r="O31" s="159">
        <f t="shared" ca="1" si="31"/>
        <v>278032.71055256878</v>
      </c>
      <c r="P31" s="159">
        <f t="shared" ca="1" si="31"/>
        <v>266954.9447876807</v>
      </c>
      <c r="Q31" s="160">
        <f t="shared" ca="1" si="31"/>
        <v>254914.34852488516</v>
      </c>
    </row>
    <row r="32" spans="3:17" ht="15.5" x14ac:dyDescent="0.35">
      <c r="C32" s="24" t="s">
        <v>4</v>
      </c>
      <c r="D32" s="42">
        <f t="shared" ref="D32:N32" si="39">D73+D114+D155</f>
        <v>29936.944476542783</v>
      </c>
      <c r="E32" s="43">
        <f t="shared" si="39"/>
        <v>30366.080389235482</v>
      </c>
      <c r="F32" s="43">
        <f t="shared" si="39"/>
        <v>30881.083761686205</v>
      </c>
      <c r="G32" s="43">
        <f t="shared" ref="G32:H32" si="40">G73+G114+G155</f>
        <v>31397.519576256283</v>
      </c>
      <c r="H32" s="43">
        <f t="shared" si="40"/>
        <v>32183.94888916834</v>
      </c>
      <c r="I32" s="43">
        <f t="shared" si="39"/>
        <v>31684.49614273879</v>
      </c>
      <c r="J32" s="43">
        <f t="shared" ca="1" si="39"/>
        <v>33242.004776403672</v>
      </c>
      <c r="K32" s="43">
        <f t="shared" ca="1" si="39"/>
        <v>33000.509698285467</v>
      </c>
      <c r="L32" s="43">
        <f t="shared" ca="1" si="39"/>
        <v>32223.516094007107</v>
      </c>
      <c r="M32" s="43">
        <f t="shared" ca="1" si="39"/>
        <v>31062.271187972001</v>
      </c>
      <c r="N32" s="43">
        <f t="shared" ca="1" si="39"/>
        <v>29808.594529367394</v>
      </c>
      <c r="O32" s="159">
        <f t="shared" ca="1" si="31"/>
        <v>27971.324205761695</v>
      </c>
      <c r="P32" s="159">
        <f t="shared" ca="1" si="31"/>
        <v>26086.945950186582</v>
      </c>
      <c r="Q32" s="160">
        <f t="shared" ca="1" si="31"/>
        <v>24170.746673035261</v>
      </c>
    </row>
    <row r="33" spans="3:17" ht="15.5" x14ac:dyDescent="0.35">
      <c r="C33" s="24" t="s">
        <v>5</v>
      </c>
      <c r="D33" s="42">
        <f t="shared" ref="D33:N33" si="41">D74+D115+D156</f>
        <v>113259.61475572419</v>
      </c>
      <c r="E33" s="43">
        <f t="shared" si="41"/>
        <v>115299.06151998522</v>
      </c>
      <c r="F33" s="43">
        <f t="shared" si="41"/>
        <v>117425.18797515267</v>
      </c>
      <c r="G33" s="43">
        <f t="shared" ref="G33:H33" si="42">G74+G115+G156</f>
        <v>121879.37021704436</v>
      </c>
      <c r="H33" s="43">
        <f t="shared" si="42"/>
        <v>127265.52863082348</v>
      </c>
      <c r="I33" s="43">
        <f t="shared" si="41"/>
        <v>126775.39980793737</v>
      </c>
      <c r="J33" s="43">
        <f t="shared" ca="1" si="41"/>
        <v>136924.47506036723</v>
      </c>
      <c r="K33" s="43">
        <f t="shared" ca="1" si="41"/>
        <v>137427.8292120219</v>
      </c>
      <c r="L33" s="43">
        <f t="shared" ca="1" si="41"/>
        <v>136621.67996076035</v>
      </c>
      <c r="M33" s="43">
        <f t="shared" ca="1" si="41"/>
        <v>134247.01594729544</v>
      </c>
      <c r="N33" s="43">
        <f t="shared" ca="1" si="41"/>
        <v>131533.52531001242</v>
      </c>
      <c r="O33" s="159">
        <f t="shared" ca="1" si="31"/>
        <v>127062.11669807028</v>
      </c>
      <c r="P33" s="159">
        <f t="shared" ca="1" si="31"/>
        <v>122165.05516986734</v>
      </c>
      <c r="Q33" s="160">
        <f t="shared" ca="1" si="31"/>
        <v>116864.2459888819</v>
      </c>
    </row>
    <row r="34" spans="3:17" ht="15.5" x14ac:dyDescent="0.35">
      <c r="C34" s="24" t="s">
        <v>6</v>
      </c>
      <c r="D34" s="42">
        <f t="shared" ref="D34:N34" si="43">D75+D116+D157</f>
        <v>83651.79807064432</v>
      </c>
      <c r="E34" s="43">
        <f t="shared" si="43"/>
        <v>86118.66865165616</v>
      </c>
      <c r="F34" s="43">
        <f t="shared" si="43"/>
        <v>87525.038269808429</v>
      </c>
      <c r="G34" s="43">
        <f t="shared" ref="G34:H34" si="44">G75+G116+G157</f>
        <v>89263.60787209835</v>
      </c>
      <c r="H34" s="43">
        <f t="shared" si="44"/>
        <v>91126.158471790564</v>
      </c>
      <c r="I34" s="43">
        <f t="shared" si="43"/>
        <v>93155.584671651101</v>
      </c>
      <c r="J34" s="43">
        <f t="shared" ca="1" si="43"/>
        <v>101634.09429150383</v>
      </c>
      <c r="K34" s="43">
        <f t="shared" ca="1" si="43"/>
        <v>102105.23113021872</v>
      </c>
      <c r="L34" s="43">
        <f t="shared" ca="1" si="43"/>
        <v>100941.49679474847</v>
      </c>
      <c r="M34" s="43">
        <f t="shared" ca="1" si="43"/>
        <v>98889.603311626604</v>
      </c>
      <c r="N34" s="43">
        <f t="shared" ca="1" si="43"/>
        <v>96399.95544093709</v>
      </c>
      <c r="O34" s="159">
        <f t="shared" ca="1" si="31"/>
        <v>92263.995176819604</v>
      </c>
      <c r="P34" s="159">
        <f t="shared" ca="1" si="31"/>
        <v>87680.828737843141</v>
      </c>
      <c r="Q34" s="160">
        <f t="shared" ca="1" si="31"/>
        <v>82679.053268207033</v>
      </c>
    </row>
    <row r="35" spans="3:17" ht="15.5" x14ac:dyDescent="0.35">
      <c r="C35" s="24" t="s">
        <v>7</v>
      </c>
      <c r="D35" s="42">
        <f t="shared" ref="D35:N35" si="45">D76+D117+D158</f>
        <v>167620.43201958659</v>
      </c>
      <c r="E35" s="43">
        <f t="shared" si="45"/>
        <v>170464.93587730997</v>
      </c>
      <c r="F35" s="43">
        <f t="shared" si="45"/>
        <v>174785.10805437135</v>
      </c>
      <c r="G35" s="43">
        <f t="shared" ref="G35:H35" si="46">G76+G117+G158</f>
        <v>180424.03776717087</v>
      </c>
      <c r="H35" s="43">
        <f t="shared" si="46"/>
        <v>186583.9222405995</v>
      </c>
      <c r="I35" s="43">
        <f t="shared" si="45"/>
        <v>187010.24269655289</v>
      </c>
      <c r="J35" s="43">
        <f t="shared" ca="1" si="45"/>
        <v>198942.21099146659</v>
      </c>
      <c r="K35" s="43">
        <f t="shared" ca="1" si="45"/>
        <v>196466.39769504857</v>
      </c>
      <c r="L35" s="43">
        <f t="shared" ca="1" si="45"/>
        <v>192337.37406758982</v>
      </c>
      <c r="M35" s="43">
        <f t="shared" ca="1" si="45"/>
        <v>185728.68935010722</v>
      </c>
      <c r="N35" s="43">
        <f t="shared" ca="1" si="45"/>
        <v>178691.37900099505</v>
      </c>
      <c r="O35" s="159">
        <f t="shared" ca="1" si="31"/>
        <v>169154.09017754174</v>
      </c>
      <c r="P35" s="159">
        <f t="shared" ca="1" si="31"/>
        <v>159200.59636668349</v>
      </c>
      <c r="Q35" s="160">
        <f t="shared" ca="1" si="31"/>
        <v>148905.76401481865</v>
      </c>
    </row>
    <row r="36" spans="3:17" ht="15.5" x14ac:dyDescent="0.35">
      <c r="C36" s="24" t="s">
        <v>8</v>
      </c>
      <c r="D36" s="42">
        <f t="shared" ref="D36:N36" si="47">D77+D118+D159</f>
        <v>302497.18708853488</v>
      </c>
      <c r="E36" s="43">
        <f t="shared" si="47"/>
        <v>308393.37810258631</v>
      </c>
      <c r="F36" s="43">
        <f t="shared" si="47"/>
        <v>315790.27345002093</v>
      </c>
      <c r="G36" s="43">
        <f t="shared" ref="G36:H36" si="48">G77+G118+G159</f>
        <v>325495.73169066105</v>
      </c>
      <c r="H36" s="43">
        <f t="shared" si="48"/>
        <v>337334.77145518031</v>
      </c>
      <c r="I36" s="43">
        <f t="shared" si="47"/>
        <v>345463.5272037838</v>
      </c>
      <c r="J36" s="43">
        <f t="shared" ca="1" si="47"/>
        <v>376345.96276345156</v>
      </c>
      <c r="K36" s="43">
        <f t="shared" ca="1" si="47"/>
        <v>379579.07623041759</v>
      </c>
      <c r="L36" s="43">
        <f t="shared" ca="1" si="47"/>
        <v>377369.94696127594</v>
      </c>
      <c r="M36" s="43">
        <f t="shared" ca="1" si="47"/>
        <v>371775.98981148982</v>
      </c>
      <c r="N36" s="43">
        <f t="shared" ca="1" si="47"/>
        <v>364579.52956192684</v>
      </c>
      <c r="O36" s="159">
        <f t="shared" ca="1" si="31"/>
        <v>352112.34219880245</v>
      </c>
      <c r="P36" s="159">
        <f t="shared" ca="1" si="31"/>
        <v>337955.11778626649</v>
      </c>
      <c r="Q36" s="160">
        <f t="shared" ca="1" si="31"/>
        <v>322171.95247064246</v>
      </c>
    </row>
    <row r="37" spans="3:17" ht="15.5" x14ac:dyDescent="0.35">
      <c r="C37" s="24" t="s">
        <v>9</v>
      </c>
      <c r="D37" s="42">
        <f t="shared" ref="D37:N37" si="49">D78+D119+D160</f>
        <v>121043.33543309773</v>
      </c>
      <c r="E37" s="43">
        <f t="shared" si="49"/>
        <v>124477.19353914031</v>
      </c>
      <c r="F37" s="43">
        <f t="shared" si="49"/>
        <v>129034.48687989885</v>
      </c>
      <c r="G37" s="43">
        <f t="shared" ref="G37:H37" si="50">G78+G119+G160</f>
        <v>137506.99209400269</v>
      </c>
      <c r="H37" s="43">
        <f t="shared" si="50"/>
        <v>146096.83262669892</v>
      </c>
      <c r="I37" s="43">
        <f t="shared" si="49"/>
        <v>152495.80354819004</v>
      </c>
      <c r="J37" s="43">
        <f t="shared" ca="1" si="49"/>
        <v>162636.21787193953</v>
      </c>
      <c r="K37" s="43">
        <f t="shared" ca="1" si="49"/>
        <v>162057.51812921648</v>
      </c>
      <c r="L37" s="43">
        <f t="shared" ca="1" si="49"/>
        <v>159117.34197754224</v>
      </c>
      <c r="M37" s="43">
        <f t="shared" ca="1" si="49"/>
        <v>154019.63256000241</v>
      </c>
      <c r="N37" s="43">
        <f t="shared" ca="1" si="49"/>
        <v>148672.6871350483</v>
      </c>
      <c r="O37" s="159">
        <f t="shared" ca="1" si="31"/>
        <v>141833.73109862406</v>
      </c>
      <c r="P37" s="159">
        <f t="shared" ca="1" si="31"/>
        <v>134615.27394071774</v>
      </c>
      <c r="Q37" s="160">
        <f t="shared" ca="1" si="31"/>
        <v>127054.9536709571</v>
      </c>
    </row>
    <row r="38" spans="3:17" ht="15.5" x14ac:dyDescent="0.35">
      <c r="C38" s="24" t="s">
        <v>10</v>
      </c>
      <c r="D38" s="42">
        <f t="shared" ref="D38:N38" si="51">D79+D120+D161</f>
        <v>26272.420338552951</v>
      </c>
      <c r="E38" s="43">
        <f t="shared" si="51"/>
        <v>26450.482710432629</v>
      </c>
      <c r="F38" s="43">
        <f t="shared" si="51"/>
        <v>26329.876855280872</v>
      </c>
      <c r="G38" s="43">
        <f t="shared" ref="G38:H38" si="52">G79+G120+G161</f>
        <v>26209.223035722083</v>
      </c>
      <c r="H38" s="43">
        <f t="shared" si="52"/>
        <v>26262.091351681596</v>
      </c>
      <c r="I38" s="43">
        <f t="shared" si="51"/>
        <v>26638.964233941482</v>
      </c>
      <c r="J38" s="43">
        <f t="shared" ca="1" si="51"/>
        <v>27255.874271298671</v>
      </c>
      <c r="K38" s="43">
        <f t="shared" ca="1" si="51"/>
        <v>26526.2051600708</v>
      </c>
      <c r="L38" s="43">
        <f t="shared" ca="1" si="51"/>
        <v>25174.616382894459</v>
      </c>
      <c r="M38" s="43">
        <f t="shared" ca="1" si="51"/>
        <v>23915.646165123013</v>
      </c>
      <c r="N38" s="43">
        <f t="shared" ca="1" si="51"/>
        <v>22692.496801102036</v>
      </c>
      <c r="O38" s="159">
        <f t="shared" ca="1" si="31"/>
        <v>21221.099420722734</v>
      </c>
      <c r="P38" s="159">
        <f t="shared" ca="1" si="31"/>
        <v>19752.287881410739</v>
      </c>
      <c r="Q38" s="160">
        <f t="shared" ca="1" si="31"/>
        <v>18295.762785767318</v>
      </c>
    </row>
    <row r="39" spans="3:17" ht="15.5" x14ac:dyDescent="0.35">
      <c r="C39" s="24" t="s">
        <v>11</v>
      </c>
      <c r="D39" s="42">
        <f t="shared" ref="D39:N39" si="53">D80+D121+D162</f>
        <v>486778.86921859178</v>
      </c>
      <c r="E39" s="43">
        <f t="shared" si="53"/>
        <v>502538.77860785392</v>
      </c>
      <c r="F39" s="43">
        <f t="shared" si="53"/>
        <v>522173.19879763969</v>
      </c>
      <c r="G39" s="43">
        <f t="shared" ref="G39:H39" si="54">G80+G121+G162</f>
        <v>539611.91654357605</v>
      </c>
      <c r="H39" s="43">
        <f t="shared" si="54"/>
        <v>556020.44651744259</v>
      </c>
      <c r="I39" s="43">
        <f t="shared" si="53"/>
        <v>560862.39665820065</v>
      </c>
      <c r="J39" s="43">
        <f t="shared" ca="1" si="53"/>
        <v>624679.06494948198</v>
      </c>
      <c r="K39" s="43">
        <f t="shared" ca="1" si="53"/>
        <v>645493.28427509777</v>
      </c>
      <c r="L39" s="43">
        <f t="shared" ca="1" si="53"/>
        <v>658292.81544465071</v>
      </c>
      <c r="M39" s="43">
        <f t="shared" ca="1" si="53"/>
        <v>663862.14333009033</v>
      </c>
      <c r="N39" s="43">
        <f t="shared" ca="1" si="53"/>
        <v>666941.93400060909</v>
      </c>
      <c r="O39" s="159">
        <f t="shared" ca="1" si="31"/>
        <v>661938.53312879824</v>
      </c>
      <c r="P39" s="159">
        <f t="shared" ca="1" si="31"/>
        <v>653917.9635146691</v>
      </c>
      <c r="Q39" s="160">
        <f t="shared" ca="1" si="31"/>
        <v>642737.73142702633</v>
      </c>
    </row>
    <row r="40" spans="3:17" ht="15.5" x14ac:dyDescent="0.35">
      <c r="C40" s="24" t="s">
        <v>12</v>
      </c>
      <c r="D40" s="42">
        <f t="shared" ref="D40:N40" si="55">D81+D122+D163</f>
        <v>147288.37606219845</v>
      </c>
      <c r="E40" s="43">
        <f t="shared" si="55"/>
        <v>151609.65433270653</v>
      </c>
      <c r="F40" s="43">
        <f t="shared" si="55"/>
        <v>155983.88217072579</v>
      </c>
      <c r="G40" s="43">
        <f t="shared" ref="G40:H40" si="56">G81+G122+G163</f>
        <v>162912.10612108107</v>
      </c>
      <c r="H40" s="43">
        <f t="shared" si="56"/>
        <v>176983.92455683372</v>
      </c>
      <c r="I40" s="43">
        <f t="shared" si="55"/>
        <v>264951.09392935759</v>
      </c>
      <c r="J40" s="43">
        <f t="shared" ca="1" si="55"/>
        <v>293761.4936448544</v>
      </c>
      <c r="K40" s="43">
        <f t="shared" ca="1" si="55"/>
        <v>301141.57974666473</v>
      </c>
      <c r="L40" s="43">
        <f t="shared" ca="1" si="55"/>
        <v>304278.83073128469</v>
      </c>
      <c r="M40" s="43">
        <f t="shared" ca="1" si="55"/>
        <v>304127.667077102</v>
      </c>
      <c r="N40" s="43">
        <f t="shared" ca="1" si="55"/>
        <v>302768.26071437093</v>
      </c>
      <c r="O40" s="159">
        <f t="shared" ca="1" si="31"/>
        <v>297448.05706956401</v>
      </c>
      <c r="P40" s="159">
        <f t="shared" ca="1" si="31"/>
        <v>290703.41746279161</v>
      </c>
      <c r="Q40" s="160">
        <f t="shared" ca="1" si="31"/>
        <v>282505.21123283688</v>
      </c>
    </row>
    <row r="41" spans="3:17" ht="16" thickBot="1" x14ac:dyDescent="0.4">
      <c r="C41" s="25" t="s">
        <v>13</v>
      </c>
      <c r="D41" s="45">
        <f t="shared" ref="D41:N41" si="57">D82+D123+D164</f>
        <v>82612.625486682198</v>
      </c>
      <c r="E41" s="46">
        <f t="shared" si="57"/>
        <v>84138.00572186544</v>
      </c>
      <c r="F41" s="46">
        <f t="shared" si="57"/>
        <v>85861.897177069055</v>
      </c>
      <c r="G41" s="46">
        <f t="shared" ref="G41:H41" si="58">G82+G123+G164</f>
        <v>88507.016126814604</v>
      </c>
      <c r="H41" s="46">
        <f t="shared" si="58"/>
        <v>90913.78260862481</v>
      </c>
      <c r="I41" s="46">
        <f t="shared" si="57"/>
        <v>91743.040980452803</v>
      </c>
      <c r="J41" s="46">
        <f t="shared" ca="1" si="57"/>
        <v>95489.1717859255</v>
      </c>
      <c r="K41" s="46">
        <f t="shared" ca="1" si="57"/>
        <v>93523.530146080506</v>
      </c>
      <c r="L41" s="46">
        <f t="shared" ca="1" si="57"/>
        <v>90756.75329736303</v>
      </c>
      <c r="M41" s="46">
        <f t="shared" ca="1" si="57"/>
        <v>87036.556106586824</v>
      </c>
      <c r="N41" s="46">
        <f t="shared" ca="1" si="57"/>
        <v>83138.02920951946</v>
      </c>
      <c r="O41" s="162">
        <f t="shared" ca="1" si="31"/>
        <v>78208.330421518622</v>
      </c>
      <c r="P41" s="162">
        <f t="shared" ca="1" si="31"/>
        <v>73175.505334376357</v>
      </c>
      <c r="Q41" s="163">
        <f t="shared" ca="1" si="31"/>
        <v>68079.615959501127</v>
      </c>
    </row>
    <row r="42" spans="3:17" ht="16.5" thickTop="1" thickBot="1" x14ac:dyDescent="0.4">
      <c r="C42" s="20" t="s">
        <v>24</v>
      </c>
      <c r="D42" s="48">
        <f t="shared" ref="D42:Q42" si="59">SUM(D28:D41)</f>
        <v>3199819.9999999995</v>
      </c>
      <c r="E42" s="48">
        <f t="shared" si="59"/>
        <v>3293857</v>
      </c>
      <c r="F42" s="48">
        <f t="shared" si="59"/>
        <v>3419034.9999999995</v>
      </c>
      <c r="G42" s="48">
        <f t="shared" ref="G42:H42" si="60">SUM(G28:G41)</f>
        <v>3560368.9999999995</v>
      </c>
      <c r="H42" s="48">
        <f t="shared" si="60"/>
        <v>3717904.0000000005</v>
      </c>
      <c r="I42" s="48">
        <f t="shared" si="59"/>
        <v>3858881</v>
      </c>
      <c r="J42" s="48">
        <f t="shared" ca="1" si="59"/>
        <v>4229839.2459943332</v>
      </c>
      <c r="K42" s="48">
        <f t="shared" ca="1" si="59"/>
        <v>4302941.477197472</v>
      </c>
      <c r="L42" s="48">
        <f t="shared" ca="1" si="59"/>
        <v>4324009.0639055166</v>
      </c>
      <c r="M42" s="48">
        <f t="shared" ca="1" si="59"/>
        <v>4297479.9024453769</v>
      </c>
      <c r="N42" s="48">
        <f t="shared" ca="1" si="59"/>
        <v>4255176.1825224087</v>
      </c>
      <c r="O42" s="125">
        <f t="shared" ca="1" si="59"/>
        <v>4155901.2708354415</v>
      </c>
      <c r="P42" s="125">
        <f t="shared" ca="1" si="59"/>
        <v>4038555.8491808441</v>
      </c>
      <c r="Q42" s="126">
        <f t="shared" ca="1" si="59"/>
        <v>3902925.7438241551</v>
      </c>
    </row>
    <row r="43" spans="3:17" ht="13" thickTop="1" x14ac:dyDescent="0.25">
      <c r="N43" s="121"/>
    </row>
    <row r="44" spans="3:17" x14ac:dyDescent="0.25">
      <c r="N44" s="121"/>
    </row>
    <row r="45" spans="3:17" ht="13" thickBot="1" x14ac:dyDescent="0.3">
      <c r="N45" s="121"/>
    </row>
    <row r="46" spans="3:17" ht="16" thickTop="1" x14ac:dyDescent="0.35">
      <c r="C46" s="32" t="s">
        <v>50</v>
      </c>
      <c r="D46" s="33"/>
      <c r="E46" s="33"/>
      <c r="F46" s="33"/>
      <c r="G46" s="33"/>
      <c r="H46" s="33"/>
      <c r="I46" s="33"/>
      <c r="J46" s="34"/>
      <c r="K46" s="34"/>
      <c r="L46" s="34"/>
      <c r="M46" s="34"/>
      <c r="N46" s="34"/>
      <c r="O46" s="34"/>
      <c r="P46" s="34"/>
      <c r="Q46" s="35"/>
    </row>
    <row r="47" spans="3:17" ht="13.5" thickBot="1" x14ac:dyDescent="0.35">
      <c r="C47" s="36"/>
      <c r="D47" s="37" t="s">
        <v>25</v>
      </c>
      <c r="E47" s="37" t="s">
        <v>37</v>
      </c>
      <c r="F47" s="37" t="s">
        <v>38</v>
      </c>
      <c r="G47" s="37" t="s">
        <v>177</v>
      </c>
      <c r="H47" s="37" t="s">
        <v>178</v>
      </c>
      <c r="I47" s="37" t="s">
        <v>26</v>
      </c>
      <c r="J47" s="37" t="s">
        <v>27</v>
      </c>
      <c r="K47" s="37" t="s">
        <v>28</v>
      </c>
      <c r="L47" s="37" t="s">
        <v>29</v>
      </c>
      <c r="M47" s="37" t="s">
        <v>30</v>
      </c>
      <c r="N47" s="37" t="s">
        <v>31</v>
      </c>
      <c r="O47" s="37" t="s">
        <v>174</v>
      </c>
      <c r="P47" s="37" t="s">
        <v>175</v>
      </c>
      <c r="Q47" s="38" t="s">
        <v>176</v>
      </c>
    </row>
    <row r="48" spans="3:17" ht="14" thickTop="1" thickBot="1" x14ac:dyDescent="0.35">
      <c r="C48" s="70"/>
      <c r="D48" s="65" t="s">
        <v>39</v>
      </c>
      <c r="E48" s="65" t="s">
        <v>39</v>
      </c>
      <c r="F48" s="65" t="s">
        <v>39</v>
      </c>
      <c r="G48" s="65" t="s">
        <v>39</v>
      </c>
      <c r="H48" s="65" t="s">
        <v>39</v>
      </c>
      <c r="I48" s="65" t="s">
        <v>39</v>
      </c>
      <c r="J48" s="65" t="s">
        <v>32</v>
      </c>
      <c r="K48" s="65" t="s">
        <v>32</v>
      </c>
      <c r="L48" s="65" t="s">
        <v>32</v>
      </c>
      <c r="M48" s="65" t="s">
        <v>32</v>
      </c>
      <c r="N48" s="65" t="s">
        <v>32</v>
      </c>
      <c r="O48" s="65" t="s">
        <v>32</v>
      </c>
      <c r="P48" s="65" t="s">
        <v>32</v>
      </c>
      <c r="Q48" s="66" t="s">
        <v>32</v>
      </c>
    </row>
    <row r="49" spans="3:17" ht="16" thickTop="1" x14ac:dyDescent="0.35">
      <c r="C49" s="24" t="s">
        <v>0</v>
      </c>
      <c r="D49" s="52">
        <f>'Car+SUV'!D49+'Van+Ute'!D49</f>
        <v>1194.9141901380303</v>
      </c>
      <c r="E49" s="53">
        <f>'Car+SUV'!E49+'Van+Ute'!E49</f>
        <v>1254.8032675655347</v>
      </c>
      <c r="F49" s="53">
        <f>'Car+SUV'!F49+'Van+Ute'!F49</f>
        <v>1300.4843342927752</v>
      </c>
      <c r="G49" s="53">
        <f>'Car+SUV'!G49+'Van+Ute'!G49</f>
        <v>1376.6740527949148</v>
      </c>
      <c r="H49" s="53">
        <f>'Car+SUV'!H49+'Van+Ute'!H49</f>
        <v>1394.3032070248676</v>
      </c>
      <c r="I49" s="53">
        <f>'Car+SUV'!I49+'Van+Ute'!I49</f>
        <v>1547.9594935056689</v>
      </c>
      <c r="J49" s="53">
        <f ca="1">'Car+SUV'!J49+'Van+Ute'!J49</f>
        <v>1630.2090718457982</v>
      </c>
      <c r="K49" s="53">
        <f ca="1">'Car+SUV'!K49+'Van+Ute'!K49</f>
        <v>1532.7124116191203</v>
      </c>
      <c r="L49" s="53">
        <f ca="1">'Car+SUV'!L49+'Van+Ute'!L49</f>
        <v>1411.4925692445097</v>
      </c>
      <c r="M49" s="53">
        <f ca="1">'Car+SUV'!M49+'Van+Ute'!M49</f>
        <v>1263.7417489306022</v>
      </c>
      <c r="N49" s="53">
        <f ca="1">'Car+SUV'!N49+'Van+Ute'!N49</f>
        <v>1101.5990744110165</v>
      </c>
      <c r="O49" s="156">
        <f ca="1">'Car+SUV'!O49+'Van+Ute'!O49</f>
        <v>931.25982166808649</v>
      </c>
      <c r="P49" s="156">
        <f ca="1">'Car+SUV'!P49+'Van+Ute'!P49</f>
        <v>753.67006963991878</v>
      </c>
      <c r="Q49" s="157">
        <f ca="1">'Car+SUV'!Q49+'Van+Ute'!Q49</f>
        <v>570.83188881017247</v>
      </c>
    </row>
    <row r="50" spans="3:17" ht="15.5" x14ac:dyDescent="0.35">
      <c r="C50" s="24" t="s">
        <v>1</v>
      </c>
      <c r="D50" s="55">
        <f>'Car+SUV'!D50+'Van+Ute'!D50</f>
        <v>8730.0437884267012</v>
      </c>
      <c r="E50" s="56">
        <f>'Car+SUV'!E50+'Van+Ute'!E50</f>
        <v>8864.8793223356461</v>
      </c>
      <c r="F50" s="56">
        <f>'Car+SUV'!F50+'Van+Ute'!F50</f>
        <v>9102.7819307763948</v>
      </c>
      <c r="G50" s="56">
        <f>'Car+SUV'!G50+'Van+Ute'!G50</f>
        <v>9377.2621681957353</v>
      </c>
      <c r="H50" s="56">
        <f>'Car+SUV'!H50+'Van+Ute'!H50</f>
        <v>9481.4412448021303</v>
      </c>
      <c r="I50" s="56">
        <f>'Car+SUV'!I50+'Van+Ute'!I50</f>
        <v>9370.5865843100037</v>
      </c>
      <c r="J50" s="56">
        <f ca="1">'Car+SUV'!J50+'Van+Ute'!J50</f>
        <v>9951.7961766732496</v>
      </c>
      <c r="K50" s="56">
        <f ca="1">'Car+SUV'!K50+'Van+Ute'!K50</f>
        <v>9406.4152169422723</v>
      </c>
      <c r="L50" s="56">
        <f ca="1">'Car+SUV'!L50+'Van+Ute'!L50</f>
        <v>8774.8591604648991</v>
      </c>
      <c r="M50" s="56">
        <f ca="1">'Car+SUV'!M50+'Van+Ute'!M50</f>
        <v>7958.6424178946563</v>
      </c>
      <c r="N50" s="56">
        <f ca="1">'Car+SUV'!N50+'Van+Ute'!N50</f>
        <v>7034.8286785497858</v>
      </c>
      <c r="O50" s="159">
        <f ca="1">'Car+SUV'!O50+'Van+Ute'!O50</f>
        <v>6034.9806449475655</v>
      </c>
      <c r="P50" s="159">
        <f ca="1">'Car+SUV'!P50+'Van+Ute'!P50</f>
        <v>4954.2089956596546</v>
      </c>
      <c r="Q50" s="160">
        <f ca="1">'Car+SUV'!Q50+'Van+Ute'!Q50</f>
        <v>3803.6457584387026</v>
      </c>
    </row>
    <row r="51" spans="3:17" ht="15.5" x14ac:dyDescent="0.35">
      <c r="C51" s="24" t="s">
        <v>2</v>
      </c>
      <c r="D51" s="55">
        <f>'Car+SUV'!D51+'Van+Ute'!D51</f>
        <v>3747.3692877844455</v>
      </c>
      <c r="E51" s="56">
        <f>'Car+SUV'!E51+'Van+Ute'!E51</f>
        <v>3667.1737006443445</v>
      </c>
      <c r="F51" s="56">
        <f>'Car+SUV'!F51+'Van+Ute'!F51</f>
        <v>3839.0927471883319</v>
      </c>
      <c r="G51" s="56">
        <f>'Car+SUV'!G51+'Van+Ute'!G51</f>
        <v>4110.2083855631417</v>
      </c>
      <c r="H51" s="56">
        <f>'Car+SUV'!H51+'Van+Ute'!H51</f>
        <v>4296.5440626016953</v>
      </c>
      <c r="I51" s="56">
        <f>'Car+SUV'!I51+'Van+Ute'!I51</f>
        <v>4632.0893241684826</v>
      </c>
      <c r="J51" s="56">
        <f ca="1">'Car+SUV'!J51+'Van+Ute'!J51</f>
        <v>4890.6428482913097</v>
      </c>
      <c r="K51" s="56">
        <f ca="1">'Car+SUV'!K51+'Van+Ute'!K51</f>
        <v>4606.2654589080339</v>
      </c>
      <c r="L51" s="56">
        <f ca="1">'Car+SUV'!L51+'Van+Ute'!L51</f>
        <v>4252.9831082963237</v>
      </c>
      <c r="M51" s="56">
        <f ca="1">'Car+SUV'!M51+'Van+Ute'!M51</f>
        <v>3816.9640758241326</v>
      </c>
      <c r="N51" s="56">
        <f ca="1">'Car+SUV'!N51+'Van+Ute'!N51</f>
        <v>3337.5834836537779</v>
      </c>
      <c r="O51" s="159">
        <f ca="1">'Car+SUV'!O51+'Van+Ute'!O51</f>
        <v>2829.6480757137797</v>
      </c>
      <c r="P51" s="159">
        <f ca="1">'Car+SUV'!P51+'Van+Ute'!P51</f>
        <v>2295.5661453299849</v>
      </c>
      <c r="Q51" s="160">
        <f ca="1">'Car+SUV'!Q51+'Van+Ute'!Q51</f>
        <v>1742.0198638254412</v>
      </c>
    </row>
    <row r="52" spans="3:17" ht="15.5" x14ac:dyDescent="0.35">
      <c r="C52" s="24" t="s">
        <v>3</v>
      </c>
      <c r="D52" s="55">
        <f>'Car+SUV'!D52+'Van+Ute'!D52</f>
        <v>1850.0224266782313</v>
      </c>
      <c r="E52" s="56">
        <f>'Car+SUV'!E52+'Van+Ute'!E52</f>
        <v>1922.2410135687717</v>
      </c>
      <c r="F52" s="56">
        <f>'Car+SUV'!F52+'Van+Ute'!F52</f>
        <v>1948.9431408478936</v>
      </c>
      <c r="G52" s="56">
        <f>'Car+SUV'!G52+'Van+Ute'!G52</f>
        <v>2051.8648276765553</v>
      </c>
      <c r="H52" s="56">
        <f>'Car+SUV'!H52+'Van+Ute'!H52</f>
        <v>2300.6363069508793</v>
      </c>
      <c r="I52" s="56">
        <f>'Car+SUV'!I52+'Van+Ute'!I52</f>
        <v>2355.0397463232594</v>
      </c>
      <c r="J52" s="56">
        <f ca="1">'Car+SUV'!J52+'Van+Ute'!J52</f>
        <v>2464.3394886059868</v>
      </c>
      <c r="K52" s="56">
        <f ca="1">'Car+SUV'!K52+'Van+Ute'!K52</f>
        <v>2304.0706555322745</v>
      </c>
      <c r="L52" s="56">
        <f ca="1">'Car+SUV'!L52+'Van+Ute'!L52</f>
        <v>2112.0346175462682</v>
      </c>
      <c r="M52" s="56">
        <f ca="1">'Car+SUV'!M52+'Van+Ute'!M52</f>
        <v>1881.4202269867428</v>
      </c>
      <c r="N52" s="56">
        <f ca="1">'Car+SUV'!N52+'Van+Ute'!N52</f>
        <v>1633.1668709478652</v>
      </c>
      <c r="O52" s="159">
        <f ca="1">'Car+SUV'!O52+'Van+Ute'!O52</f>
        <v>1374.4012024660506</v>
      </c>
      <c r="P52" s="159">
        <f ca="1">'Car+SUV'!P52+'Van+Ute'!P52</f>
        <v>1106.6995295617719</v>
      </c>
      <c r="Q52" s="160">
        <f ca="1">'Car+SUV'!Q52+'Van+Ute'!Q52</f>
        <v>833.54128177611608</v>
      </c>
    </row>
    <row r="53" spans="3:17" ht="15.5" x14ac:dyDescent="0.35">
      <c r="C53" s="24" t="s">
        <v>4</v>
      </c>
      <c r="D53" s="55">
        <f>'Car+SUV'!D53+'Van+Ute'!D53</f>
        <v>267.40861641112889</v>
      </c>
      <c r="E53" s="56">
        <f>'Car+SUV'!E53+'Van+Ute'!E53</f>
        <v>269.04093256378616</v>
      </c>
      <c r="F53" s="56">
        <f>'Car+SUV'!F53+'Van+Ute'!F53</f>
        <v>284.38779273568485</v>
      </c>
      <c r="G53" s="56">
        <f>'Car+SUV'!G53+'Van+Ute'!G53</f>
        <v>298.61940906795917</v>
      </c>
      <c r="H53" s="56">
        <f>'Car+SUV'!H53+'Van+Ute'!H53</f>
        <v>290.75803427334841</v>
      </c>
      <c r="I53" s="56">
        <f>'Car+SUV'!I53+'Van+Ute'!I53</f>
        <v>301.93217543642339</v>
      </c>
      <c r="J53" s="56">
        <f ca="1">'Car+SUV'!J53+'Van+Ute'!J53</f>
        <v>307.84375628871618</v>
      </c>
      <c r="K53" s="56">
        <f ca="1">'Car+SUV'!K53+'Van+Ute'!K53</f>
        <v>282.02360196069367</v>
      </c>
      <c r="L53" s="56">
        <f ca="1">'Car+SUV'!L53+'Van+Ute'!L53</f>
        <v>253.53409318172945</v>
      </c>
      <c r="M53" s="56">
        <f ca="1">'Car+SUV'!M53+'Van+Ute'!M53</f>
        <v>221.33200175365207</v>
      </c>
      <c r="N53" s="56">
        <f ca="1">'Car+SUV'!N53+'Van+Ute'!N53</f>
        <v>188.41521084058007</v>
      </c>
      <c r="O53" s="159">
        <f ca="1">'Car+SUV'!O53+'Van+Ute'!O53</f>
        <v>155.63154310645953</v>
      </c>
      <c r="P53" s="159">
        <f ca="1">'Car+SUV'!P53+'Van+Ute'!P53</f>
        <v>123.01787003481712</v>
      </c>
      <c r="Q53" s="160">
        <f ca="1">'Car+SUV'!Q53+'Van+Ute'!Q53</f>
        <v>90.965750022388818</v>
      </c>
    </row>
    <row r="54" spans="3:17" ht="15.5" x14ac:dyDescent="0.35">
      <c r="C54" s="24" t="s">
        <v>5</v>
      </c>
      <c r="D54" s="55">
        <f>'Car+SUV'!D54+'Van+Ute'!D54</f>
        <v>1030.1941521760859</v>
      </c>
      <c r="E54" s="56">
        <f>'Car+SUV'!E54+'Van+Ute'!E54</f>
        <v>1030.8859295608715</v>
      </c>
      <c r="F54" s="56">
        <f>'Car+SUV'!F54+'Van+Ute'!F54</f>
        <v>1085.9555039391655</v>
      </c>
      <c r="G54" s="56">
        <f>'Car+SUV'!G54+'Van+Ute'!G54</f>
        <v>1155.5095918332788</v>
      </c>
      <c r="H54" s="56">
        <f>'Car+SUV'!H54+'Van+Ute'!H54</f>
        <v>1182.8490923879899</v>
      </c>
      <c r="I54" s="56">
        <f>'Car+SUV'!I54+'Van+Ute'!I54</f>
        <v>1212.8275391646519</v>
      </c>
      <c r="J54" s="56">
        <f ca="1">'Car+SUV'!J54+'Van+Ute'!J54</f>
        <v>1268.0427927425471</v>
      </c>
      <c r="K54" s="56">
        <f ca="1">'Car+SUV'!K54+'Van+Ute'!K54</f>
        <v>1185.5009958485643</v>
      </c>
      <c r="L54" s="56">
        <f ca="1">'Car+SUV'!L54+'Van+Ute'!L54</f>
        <v>1086.8238845462654</v>
      </c>
      <c r="M54" s="56">
        <f ca="1">'Car+SUV'!M54+'Van+Ute'!M54</f>
        <v>969.14429426143056</v>
      </c>
      <c r="N54" s="56">
        <f ca="1">'Car+SUV'!N54+'Van+Ute'!N54</f>
        <v>843.03865815871723</v>
      </c>
      <c r="O54" s="159">
        <f ca="1">'Car+SUV'!O54+'Van+Ute'!O54</f>
        <v>711.71313854570076</v>
      </c>
      <c r="P54" s="159">
        <f ca="1">'Car+SUV'!P54+'Van+Ute'!P54</f>
        <v>575.33373991302471</v>
      </c>
      <c r="Q54" s="160">
        <f ca="1">'Car+SUV'!Q54+'Van+Ute'!Q54</f>
        <v>435.3552681681528</v>
      </c>
    </row>
    <row r="55" spans="3:17" ht="15.5" x14ac:dyDescent="0.35">
      <c r="C55" s="24" t="s">
        <v>6</v>
      </c>
      <c r="D55" s="55">
        <f>'Car+SUV'!D55+'Van+Ute'!D55</f>
        <v>738.04661484498195</v>
      </c>
      <c r="E55" s="56">
        <f>'Car+SUV'!E55+'Van+Ute'!E55</f>
        <v>757.78007475932282</v>
      </c>
      <c r="F55" s="56">
        <f>'Car+SUV'!F55+'Van+Ute'!F55</f>
        <v>791.28590362958789</v>
      </c>
      <c r="G55" s="56">
        <f>'Car+SUV'!G55+'Van+Ute'!G55</f>
        <v>830.86602594417877</v>
      </c>
      <c r="H55" s="56">
        <f>'Car+SUV'!H55+'Van+Ute'!H55</f>
        <v>851.58019562331788</v>
      </c>
      <c r="I55" s="56">
        <f>'Car+SUV'!I55+'Van+Ute'!I55</f>
        <v>882.3227809454919</v>
      </c>
      <c r="J55" s="56">
        <f ca="1">'Car+SUV'!J55+'Van+Ute'!J55</f>
        <v>930.46810663302779</v>
      </c>
      <c r="K55" s="56">
        <f ca="1">'Car+SUV'!K55+'Van+Ute'!K55</f>
        <v>876.39331785347815</v>
      </c>
      <c r="L55" s="56">
        <f ca="1">'Car+SUV'!L55+'Van+Ute'!L55</f>
        <v>810.31044319408602</v>
      </c>
      <c r="M55" s="56">
        <f ca="1">'Car+SUV'!M55+'Van+Ute'!M55</f>
        <v>729.03943179743624</v>
      </c>
      <c r="N55" s="56">
        <f ca="1">'Car+SUV'!N55+'Van+Ute'!N55</f>
        <v>639.7955077520578</v>
      </c>
      <c r="O55" s="159">
        <f ca="1">'Car+SUV'!O55+'Van+Ute'!O55</f>
        <v>544.68889533230879</v>
      </c>
      <c r="P55" s="159">
        <f ca="1">'Car+SUV'!P55+'Van+Ute'!P55</f>
        <v>443.94702421686992</v>
      </c>
      <c r="Q55" s="160">
        <f ca="1">'Car+SUV'!Q55+'Van+Ute'!Q55</f>
        <v>338.64110790664972</v>
      </c>
    </row>
    <row r="56" spans="3:17" ht="15.5" x14ac:dyDescent="0.35">
      <c r="C56" s="24" t="s">
        <v>7</v>
      </c>
      <c r="D56" s="55">
        <f>'Car+SUV'!D56+'Van+Ute'!D56</f>
        <v>1696.2872430494483</v>
      </c>
      <c r="E56" s="56">
        <f>'Car+SUV'!E56+'Van+Ute'!E56</f>
        <v>1714.6728572256782</v>
      </c>
      <c r="F56" s="56">
        <f>'Car+SUV'!F56+'Van+Ute'!F56</f>
        <v>1761.9144385640216</v>
      </c>
      <c r="G56" s="56">
        <f>'Car+SUV'!G56+'Van+Ute'!G56</f>
        <v>1874.8487936040563</v>
      </c>
      <c r="H56" s="56">
        <f>'Car+SUV'!H56+'Van+Ute'!H56</f>
        <v>1915.0606607933976</v>
      </c>
      <c r="I56" s="56">
        <f>'Car+SUV'!I56+'Van+Ute'!I56</f>
        <v>1932.0644987557191</v>
      </c>
      <c r="J56" s="56">
        <f ca="1">'Car+SUV'!J56+'Van+Ute'!J56</f>
        <v>1995.5510784109081</v>
      </c>
      <c r="K56" s="56">
        <f ca="1">'Car+SUV'!K56+'Van+Ute'!K56</f>
        <v>1846.7831954470223</v>
      </c>
      <c r="L56" s="56">
        <f ca="1">'Car+SUV'!L56+'Van+Ute'!L56</f>
        <v>1676.1923072498093</v>
      </c>
      <c r="M56" s="56">
        <f ca="1">'Car+SUV'!M56+'Van+Ute'!M56</f>
        <v>1479.7032700399973</v>
      </c>
      <c r="N56" s="56">
        <f ca="1">'Car+SUV'!N56+'Van+Ute'!N56</f>
        <v>1272.7129190414146</v>
      </c>
      <c r="O56" s="159">
        <f ca="1">'Car+SUV'!O56+'Van+Ute'!O56</f>
        <v>1062.3992248870416</v>
      </c>
      <c r="P56" s="159">
        <f ca="1">'Car+SUV'!P56+'Van+Ute'!P56</f>
        <v>849.13532241663688</v>
      </c>
      <c r="Q56" s="160">
        <f ca="1">'Car+SUV'!Q56+'Van+Ute'!Q56</f>
        <v>635.26747486650322</v>
      </c>
    </row>
    <row r="57" spans="3:17" ht="15.5" x14ac:dyDescent="0.35">
      <c r="C57" s="24" t="s">
        <v>8</v>
      </c>
      <c r="D57" s="55">
        <f>'Car+SUV'!D57+'Van+Ute'!D57</f>
        <v>2526.3267482511314</v>
      </c>
      <c r="E57" s="56">
        <f>'Car+SUV'!E57+'Van+Ute'!E57</f>
        <v>2573.355132669979</v>
      </c>
      <c r="F57" s="56">
        <f>'Car+SUV'!F57+'Van+Ute'!F57</f>
        <v>2779.1639214417592</v>
      </c>
      <c r="G57" s="56">
        <f>'Car+SUV'!G57+'Van+Ute'!G57</f>
        <v>2750.6316726932396</v>
      </c>
      <c r="H57" s="56">
        <f>'Car+SUV'!H57+'Van+Ute'!H57</f>
        <v>2717.8506482937514</v>
      </c>
      <c r="I57" s="56">
        <f>'Car+SUV'!I57+'Van+Ute'!I57</f>
        <v>2826.5254265885515</v>
      </c>
      <c r="J57" s="56">
        <f ca="1">'Car+SUV'!J57+'Van+Ute'!J57</f>
        <v>2980.8380784786591</v>
      </c>
      <c r="K57" s="56">
        <f ca="1">'Car+SUV'!K57+'Van+Ute'!K57</f>
        <v>2809.9327545483911</v>
      </c>
      <c r="L57" s="56">
        <f ca="1">'Car+SUV'!L57+'Van+Ute'!L57</f>
        <v>2600.2065962442612</v>
      </c>
      <c r="M57" s="56">
        <f ca="1">'Car+SUV'!M57+'Van+Ute'!M57</f>
        <v>2339.7528455462734</v>
      </c>
      <c r="N57" s="56">
        <f ca="1">'Car+SUV'!N57+'Van+Ute'!N57</f>
        <v>2051.4715093327641</v>
      </c>
      <c r="O57" s="159">
        <f ca="1">'Car+SUV'!O57+'Van+Ute'!O57</f>
        <v>1745.7273928252189</v>
      </c>
      <c r="P57" s="159">
        <f ca="1">'Car+SUV'!P57+'Van+Ute'!P57</f>
        <v>1421.7088349524638</v>
      </c>
      <c r="Q57" s="160">
        <f ca="1">'Car+SUV'!Q57+'Van+Ute'!Q57</f>
        <v>1083.2607513957762</v>
      </c>
    </row>
    <row r="58" spans="3:17" ht="15.5" x14ac:dyDescent="0.35">
      <c r="C58" s="24" t="s">
        <v>9</v>
      </c>
      <c r="D58" s="55">
        <f>'Car+SUV'!D58+'Van+Ute'!D58</f>
        <v>893.775453672298</v>
      </c>
      <c r="E58" s="56">
        <f>'Car+SUV'!E58+'Van+Ute'!E58</f>
        <v>906.60516426578931</v>
      </c>
      <c r="F58" s="56">
        <f>'Car+SUV'!F58+'Van+Ute'!F58</f>
        <v>873.8122857714045</v>
      </c>
      <c r="G58" s="56">
        <f>'Car+SUV'!G58+'Van+Ute'!G58</f>
        <v>1030.1697269378767</v>
      </c>
      <c r="H58" s="56">
        <f>'Car+SUV'!H58+'Van+Ute'!H58</f>
        <v>1056.3912026343926</v>
      </c>
      <c r="I58" s="56">
        <f>'Car+SUV'!I58+'Van+Ute'!I58</f>
        <v>1114.7667015116626</v>
      </c>
      <c r="J58" s="56">
        <f ca="1">'Car+SUV'!J58+'Van+Ute'!J58</f>
        <v>1149.8878960238628</v>
      </c>
      <c r="K58" s="56">
        <f ca="1">'Car+SUV'!K58+'Van+Ute'!K58</f>
        <v>1064.1239909723952</v>
      </c>
      <c r="L58" s="56">
        <f ca="1">'Car+SUV'!L58+'Van+Ute'!L58</f>
        <v>965.7171852264305</v>
      </c>
      <c r="M58" s="56">
        <f ca="1">'Car+SUV'!M58+'Van+Ute'!M58</f>
        <v>851.87287472303512</v>
      </c>
      <c r="N58" s="56">
        <f ca="1">'Car+SUV'!N58+'Van+Ute'!N58</f>
        <v>731.12358676269025</v>
      </c>
      <c r="O58" s="159">
        <f ca="1">'Car+SUV'!O58+'Van+Ute'!O58</f>
        <v>608.70253378731149</v>
      </c>
      <c r="P58" s="159">
        <f ca="1">'Car+SUV'!P58+'Van+Ute'!P58</f>
        <v>484.98560829478458</v>
      </c>
      <c r="Q58" s="160">
        <f ca="1">'Car+SUV'!Q58+'Van+Ute'!Q58</f>
        <v>361.50328492417452</v>
      </c>
    </row>
    <row r="59" spans="3:17" ht="15.5" x14ac:dyDescent="0.35">
      <c r="C59" s="24" t="s">
        <v>10</v>
      </c>
      <c r="D59" s="55">
        <f>'Car+SUV'!D59+'Van+Ute'!D59</f>
        <v>328.17134164495133</v>
      </c>
      <c r="E59" s="56">
        <f>'Car+SUV'!E59+'Van+Ute'!E59</f>
        <v>329.60537630315076</v>
      </c>
      <c r="F59" s="56">
        <f>'Car+SUV'!F59+'Van+Ute'!F59</f>
        <v>352.85688638693546</v>
      </c>
      <c r="G59" s="56">
        <f>'Car+SUV'!G59+'Van+Ute'!G59</f>
        <v>380.18278026684106</v>
      </c>
      <c r="H59" s="56">
        <f>'Car+SUV'!H59+'Van+Ute'!H59</f>
        <v>394.33347041751176</v>
      </c>
      <c r="I59" s="56">
        <f>'Car+SUV'!I59+'Van+Ute'!I59</f>
        <v>424.20958053366394</v>
      </c>
      <c r="J59" s="56">
        <f ca="1">'Car+SUV'!J59+'Van+Ute'!J59</f>
        <v>424.82861016375369</v>
      </c>
      <c r="K59" s="56">
        <f ca="1">'Car+SUV'!K59+'Van+Ute'!K59</f>
        <v>382.32478043662576</v>
      </c>
      <c r="L59" s="56">
        <f ca="1">'Car+SUV'!L59+'Van+Ute'!L59</f>
        <v>337.56620025132435</v>
      </c>
      <c r="M59" s="56">
        <f ca="1">'Car+SUV'!M59+'Van+Ute'!M59</f>
        <v>289.85576994533915</v>
      </c>
      <c r="N59" s="56">
        <f ca="1">'Car+SUV'!N59+'Van+Ute'!N59</f>
        <v>242.79425573590552</v>
      </c>
      <c r="O59" s="159">
        <f ca="1">'Car+SUV'!O59+'Van+Ute'!O59</f>
        <v>197.24167270523958</v>
      </c>
      <c r="P59" s="159">
        <f ca="1">'Car+SUV'!P59+'Van+Ute'!P59</f>
        <v>153.33732229372359</v>
      </c>
      <c r="Q59" s="160">
        <f ca="1">'Car+SUV'!Q59+'Van+Ute'!Q59</f>
        <v>111.51574946205979</v>
      </c>
    </row>
    <row r="60" spans="3:17" ht="15.5" x14ac:dyDescent="0.35">
      <c r="C60" s="24" t="s">
        <v>11</v>
      </c>
      <c r="D60" s="55">
        <f>'Car+SUV'!D60+'Van+Ute'!D60</f>
        <v>3605.7853595229435</v>
      </c>
      <c r="E60" s="56">
        <f>'Car+SUV'!E60+'Van+Ute'!E60</f>
        <v>3753.1549163898626</v>
      </c>
      <c r="F60" s="56">
        <f>'Car+SUV'!F60+'Van+Ute'!F60</f>
        <v>3961.466136266079</v>
      </c>
      <c r="G60" s="56">
        <f>'Car+SUV'!G60+'Van+Ute'!G60</f>
        <v>4254.3384422427844</v>
      </c>
      <c r="H60" s="56">
        <f>'Car+SUV'!H60+'Van+Ute'!H60</f>
        <v>4202.4065542317676</v>
      </c>
      <c r="I60" s="56">
        <f>'Car+SUV'!I60+'Van+Ute'!I60</f>
        <v>4422.9391466291772</v>
      </c>
      <c r="J60" s="56">
        <f ca="1">'Car+SUV'!J60+'Van+Ute'!J60</f>
        <v>4764.9090497150291</v>
      </c>
      <c r="K60" s="56">
        <f ca="1">'Car+SUV'!K60+'Van+Ute'!K60</f>
        <v>4555.1895817086506</v>
      </c>
      <c r="L60" s="56">
        <f ca="1">'Car+SUV'!L60+'Van+Ute'!L60</f>
        <v>4268.7825078218839</v>
      </c>
      <c r="M60" s="56">
        <f ca="1">'Car+SUV'!M60+'Van+Ute'!M60</f>
        <v>3889.6923124474115</v>
      </c>
      <c r="N60" s="56">
        <f ca="1">'Car+SUV'!N60+'Van+Ute'!N60</f>
        <v>3453.3177316448505</v>
      </c>
      <c r="O60" s="159">
        <f ca="1">'Car+SUV'!O60+'Van+Ute'!O60</f>
        <v>2976.7302379518396</v>
      </c>
      <c r="P60" s="159">
        <f ca="1">'Car+SUV'!P60+'Van+Ute'!P60</f>
        <v>2455.6543346502767</v>
      </c>
      <c r="Q60" s="160">
        <f ca="1">'Car+SUV'!Q60+'Van+Ute'!Q60</f>
        <v>1895.2618855887008</v>
      </c>
    </row>
    <row r="61" spans="3:17" ht="15.5" x14ac:dyDescent="0.35">
      <c r="C61" s="24" t="s">
        <v>12</v>
      </c>
      <c r="D61" s="55">
        <f>'Car+SUV'!D61+'Van+Ute'!D61</f>
        <v>1457.4568504361932</v>
      </c>
      <c r="E61" s="56">
        <f>'Car+SUV'!E61+'Van+Ute'!E61</f>
        <v>1498.0768675491838</v>
      </c>
      <c r="F61" s="56">
        <f>'Car+SUV'!F61+'Van+Ute'!F61</f>
        <v>1556.5053835708459</v>
      </c>
      <c r="G61" s="56">
        <f>'Car+SUV'!G61+'Van+Ute'!G61</f>
        <v>1644.8774878043305</v>
      </c>
      <c r="H61" s="56">
        <f>'Car+SUV'!H61+'Van+Ute'!H61</f>
        <v>1692.6121814286205</v>
      </c>
      <c r="I61" s="56">
        <f>'Car+SUV'!I61+'Van+Ute'!I61</f>
        <v>1881.1655328427448</v>
      </c>
      <c r="J61" s="56">
        <f ca="1">'Car+SUV'!J61+'Van+Ute'!J61</f>
        <v>2022.224163106353</v>
      </c>
      <c r="K61" s="56">
        <f ca="1">'Car+SUV'!K61+'Van+Ute'!K61</f>
        <v>1924.6232215578034</v>
      </c>
      <c r="L61" s="56">
        <f ca="1">'Car+SUV'!L61+'Van+Ute'!L61</f>
        <v>1796.1336067572911</v>
      </c>
      <c r="M61" s="56">
        <f ca="1">'Car+SUV'!M61+'Van+Ute'!M61</f>
        <v>1629.3126525593336</v>
      </c>
      <c r="N61" s="56">
        <f ca="1">'Car+SUV'!N61+'Van+Ute'!N61</f>
        <v>1440.5831844417523</v>
      </c>
      <c r="O61" s="159">
        <f ca="1">'Car+SUV'!O61+'Van+Ute'!O61</f>
        <v>1235.8644795252796</v>
      </c>
      <c r="P61" s="159">
        <f ca="1">'Car+SUV'!P61+'Van+Ute'!P61</f>
        <v>1014.6338238566643</v>
      </c>
      <c r="Q61" s="160">
        <f ca="1">'Car+SUV'!Q61+'Van+Ute'!Q61</f>
        <v>779.30289138036846</v>
      </c>
    </row>
    <row r="62" spans="3:17" ht="16" thickBot="1" x14ac:dyDescent="0.4">
      <c r="C62" s="25" t="s">
        <v>13</v>
      </c>
      <c r="D62" s="58">
        <f>'Car+SUV'!D62+'Van+Ute'!D62</f>
        <v>776.98693565603571</v>
      </c>
      <c r="E62" s="59">
        <f>'Car+SUV'!E62+'Van+Ute'!E62</f>
        <v>792.52700324826901</v>
      </c>
      <c r="F62" s="59">
        <f>'Car+SUV'!F62+'Van+Ute'!F62</f>
        <v>767.64395612199041</v>
      </c>
      <c r="G62" s="59">
        <f>'Car+SUV'!G62+'Van+Ute'!G62</f>
        <v>871.32586357758191</v>
      </c>
      <c r="H62" s="59">
        <f>'Car+SUV'!H62+'Van+Ute'!H62</f>
        <v>880.30918701104326</v>
      </c>
      <c r="I62" s="59">
        <f>'Car+SUV'!I62+'Van+Ute'!I62</f>
        <v>911.71825715111618</v>
      </c>
      <c r="J62" s="59">
        <f ca="1">'Car+SUV'!J62+'Van+Ute'!J62</f>
        <v>921.26534931567357</v>
      </c>
      <c r="K62" s="59">
        <f ca="1">'Car+SUV'!K62+'Van+Ute'!K62</f>
        <v>838.33494597020729</v>
      </c>
      <c r="L62" s="59">
        <f ca="1">'Car+SUV'!L62+'Van+Ute'!L62</f>
        <v>749.41580203346098</v>
      </c>
      <c r="M62" s="59">
        <f ca="1">'Car+SUV'!M62+'Van+Ute'!M62</f>
        <v>651.86111745352389</v>
      </c>
      <c r="N62" s="59">
        <f ca="1">'Car+SUV'!N62+'Van+Ute'!N62</f>
        <v>552.87357729914959</v>
      </c>
      <c r="O62" s="162">
        <f ca="1">'Car+SUV'!O62+'Van+Ute'!O62</f>
        <v>454.82508733407258</v>
      </c>
      <c r="P62" s="162">
        <f ca="1">'Car+SUV'!P62+'Van+Ute'!P62</f>
        <v>358.05679202880225</v>
      </c>
      <c r="Q62" s="163">
        <f ca="1">'Car+SUV'!Q62+'Van+Ute'!Q62</f>
        <v>263.69297168654083</v>
      </c>
    </row>
    <row r="63" spans="3:17" ht="16.5" thickTop="1" thickBot="1" x14ac:dyDescent="0.4">
      <c r="C63" s="31" t="s">
        <v>24</v>
      </c>
      <c r="D63" s="61">
        <f t="shared" ref="D63:N63" si="61">SUM(D49:D62)</f>
        <v>28842.789008692605</v>
      </c>
      <c r="E63" s="62">
        <f t="shared" si="61"/>
        <v>29334.801558650197</v>
      </c>
      <c r="F63" s="62">
        <f t="shared" si="61"/>
        <v>30406.29436153287</v>
      </c>
      <c r="G63" s="62">
        <f t="shared" ref="G63:H63" si="62">SUM(G49:G62)</f>
        <v>32007.379228202473</v>
      </c>
      <c r="H63" s="62">
        <f t="shared" si="62"/>
        <v>32657.076048474719</v>
      </c>
      <c r="I63" s="62">
        <f t="shared" si="61"/>
        <v>33816.146787866623</v>
      </c>
      <c r="J63" s="62">
        <f t="shared" ca="1" si="61"/>
        <v>35702.846466294875</v>
      </c>
      <c r="K63" s="62">
        <f t="shared" ca="1" si="61"/>
        <v>33614.694129305535</v>
      </c>
      <c r="L63" s="62">
        <f t="shared" ca="1" si="61"/>
        <v>31096.052082058544</v>
      </c>
      <c r="M63" s="62">
        <f t="shared" ca="1" si="61"/>
        <v>27972.335040163569</v>
      </c>
      <c r="N63" s="62">
        <f t="shared" ca="1" si="61"/>
        <v>24523.304248572324</v>
      </c>
      <c r="O63" s="125">
        <f t="shared" ref="O63:Q63" ca="1" si="63">SUM(O49:O62)</f>
        <v>20863.813950795957</v>
      </c>
      <c r="P63" s="125">
        <f t="shared" ca="1" si="63"/>
        <v>16989.955412849395</v>
      </c>
      <c r="Q63" s="126">
        <f t="shared" ca="1" si="63"/>
        <v>12944.805928251748</v>
      </c>
    </row>
    <row r="64" spans="3:17" ht="13" thickTop="1" x14ac:dyDescent="0.25">
      <c r="N64" s="121"/>
    </row>
    <row r="65" spans="3:17" ht="13" thickBot="1" x14ac:dyDescent="0.3">
      <c r="N65" s="121"/>
    </row>
    <row r="66" spans="3:17" ht="16" thickTop="1" x14ac:dyDescent="0.35">
      <c r="C66" s="32" t="s">
        <v>60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3:17" ht="13.5" thickBot="1" x14ac:dyDescent="0.35">
      <c r="C67" s="18"/>
      <c r="D67" s="65" t="s">
        <v>25</v>
      </c>
      <c r="E67" s="65" t="s">
        <v>37</v>
      </c>
      <c r="F67" s="65" t="s">
        <v>38</v>
      </c>
      <c r="G67" s="37" t="s">
        <v>177</v>
      </c>
      <c r="H67" s="37" t="s">
        <v>178</v>
      </c>
      <c r="I67" s="65" t="s">
        <v>26</v>
      </c>
      <c r="J67" s="65" t="s">
        <v>27</v>
      </c>
      <c r="K67" s="65" t="s">
        <v>28</v>
      </c>
      <c r="L67" s="65" t="s">
        <v>29</v>
      </c>
      <c r="M67" s="65" t="s">
        <v>30</v>
      </c>
      <c r="N67" s="65" t="s">
        <v>31</v>
      </c>
      <c r="O67" s="37" t="s">
        <v>174</v>
      </c>
      <c r="P67" s="37" t="s">
        <v>175</v>
      </c>
      <c r="Q67" s="38" t="s">
        <v>176</v>
      </c>
    </row>
    <row r="68" spans="3:17" ht="14" thickTop="1" thickBot="1" x14ac:dyDescent="0.35">
      <c r="C68" s="70"/>
      <c r="D68" s="71" t="s">
        <v>39</v>
      </c>
      <c r="E68" s="71" t="s">
        <v>39</v>
      </c>
      <c r="F68" s="71" t="s">
        <v>39</v>
      </c>
      <c r="G68" s="71" t="s">
        <v>39</v>
      </c>
      <c r="H68" s="71" t="s">
        <v>39</v>
      </c>
      <c r="I68" s="71" t="s">
        <v>39</v>
      </c>
      <c r="J68" s="71" t="s">
        <v>32</v>
      </c>
      <c r="K68" s="71" t="s">
        <v>32</v>
      </c>
      <c r="L68" s="71" t="s">
        <v>32</v>
      </c>
      <c r="M68" s="71" t="s">
        <v>32</v>
      </c>
      <c r="N68" s="71" t="s">
        <v>32</v>
      </c>
      <c r="O68" s="65" t="s">
        <v>32</v>
      </c>
      <c r="P68" s="65" t="s">
        <v>32</v>
      </c>
      <c r="Q68" s="66" t="s">
        <v>32</v>
      </c>
    </row>
    <row r="69" spans="3:17" ht="16" thickTop="1" x14ac:dyDescent="0.35">
      <c r="C69" s="24" t="s">
        <v>0</v>
      </c>
      <c r="D69" s="42">
        <f>'Car+SUV'!D69+'Van+Ute'!D69</f>
        <v>99533.601902881986</v>
      </c>
      <c r="E69" s="43">
        <f>'Car+SUV'!E69+'Van+Ute'!E69</f>
        <v>101592.98348512857</v>
      </c>
      <c r="F69" s="43">
        <f>'Car+SUV'!F69+'Van+Ute'!F69</f>
        <v>103184.32269460775</v>
      </c>
      <c r="G69" s="43">
        <f>'Car+SUV'!G69+'Van+Ute'!G69</f>
        <v>107118.35873555273</v>
      </c>
      <c r="H69" s="43">
        <f>'Car+SUV'!H69+'Van+Ute'!H69</f>
        <v>112211.82456603071</v>
      </c>
      <c r="I69" s="43">
        <f>'Car+SUV'!I69+'Van+Ute'!I69</f>
        <v>118745.41126708998</v>
      </c>
      <c r="J69" s="43">
        <f>'Car+SUV'!J69+'Van+Ute'!J69</f>
        <v>128146.96683900675</v>
      </c>
      <c r="K69" s="43">
        <f>'Car+SUV'!K69+'Van+Ute'!K69</f>
        <v>121913.42836741089</v>
      </c>
      <c r="L69" s="43">
        <f>'Car+SUV'!L69+'Van+Ute'!L69</f>
        <v>113514.39532719959</v>
      </c>
      <c r="M69" s="43">
        <f>'Car+SUV'!M69+'Van+Ute'!M69</f>
        <v>102834.27451171241</v>
      </c>
      <c r="N69" s="43">
        <f>'Car+SUV'!N69+'Van+Ute'!N69</f>
        <v>91144.124377481698</v>
      </c>
      <c r="O69" s="53">
        <f ca="1">'Car+SUV'!O69+'Van+Ute'!O69</f>
        <v>77005.338883790959</v>
      </c>
      <c r="P69" s="53">
        <f ca="1">'Car+SUV'!P69+'Van+Ute'!P69</f>
        <v>62283.606175776178</v>
      </c>
      <c r="Q69" s="54">
        <f ca="1">'Car+SUV'!Q69+'Van+Ute'!Q69</f>
        <v>47145.583923900456</v>
      </c>
    </row>
    <row r="70" spans="3:17" ht="15.5" x14ac:dyDescent="0.35">
      <c r="C70" s="24" t="s">
        <v>1</v>
      </c>
      <c r="D70" s="42">
        <f>'Car+SUV'!D70+'Van+Ute'!D70</f>
        <v>837204.60079855169</v>
      </c>
      <c r="E70" s="43">
        <f>'Car+SUV'!E70+'Van+Ute'!E70</f>
        <v>864936.70457136247</v>
      </c>
      <c r="F70" s="43">
        <f>'Car+SUV'!F70+'Van+Ute'!F70</f>
        <v>914566.09340135113</v>
      </c>
      <c r="G70" s="43">
        <f>'Car+SUV'!G70+'Van+Ute'!G70</f>
        <v>951374.72960725415</v>
      </c>
      <c r="H70" s="43">
        <f>'Car+SUV'!H70+'Van+Ute'!H70</f>
        <v>988432.21736029489</v>
      </c>
      <c r="I70" s="43">
        <f>'Car+SUV'!I70+'Van+Ute'!I70</f>
        <v>994332.82757801469</v>
      </c>
      <c r="J70" s="43">
        <f>'Car+SUV'!J70+'Van+Ute'!J70</f>
        <v>1090325.1960129726</v>
      </c>
      <c r="K70" s="43">
        <f>'Car+SUV'!K70+'Van+Ute'!K70</f>
        <v>1053041.206507717</v>
      </c>
      <c r="L70" s="43">
        <f>'Car+SUV'!L70+'Van+Ute'!L70</f>
        <v>995162.25712220534</v>
      </c>
      <c r="M70" s="43">
        <f>'Car+SUV'!M70+'Van+Ute'!M70</f>
        <v>916821.42084932898</v>
      </c>
      <c r="N70" s="43">
        <f>'Car+SUV'!N70+'Van+Ute'!N70</f>
        <v>825786.66414097371</v>
      </c>
      <c r="O70" s="56">
        <f ca="1">'Car+SUV'!O70+'Van+Ute'!O70</f>
        <v>710864.66207665461</v>
      </c>
      <c r="P70" s="56">
        <f ca="1">'Car+SUV'!P70+'Van+Ute'!P70</f>
        <v>585718.51626973029</v>
      </c>
      <c r="Q70" s="57">
        <f ca="1">'Car+SUV'!Q70+'Van+Ute'!Q70</f>
        <v>451567.17951594159</v>
      </c>
    </row>
    <row r="71" spans="3:17" ht="15.5" x14ac:dyDescent="0.35">
      <c r="C71" s="24" t="s">
        <v>2</v>
      </c>
      <c r="D71" s="42">
        <f>'Car+SUV'!D71+'Van+Ute'!D71</f>
        <v>260853.45470876776</v>
      </c>
      <c r="E71" s="43">
        <f>'Car+SUV'!E71+'Van+Ute'!E71</f>
        <v>269378.45249783417</v>
      </c>
      <c r="F71" s="43">
        <f>'Car+SUV'!F71+'Van+Ute'!F71</f>
        <v>277368.08518352715</v>
      </c>
      <c r="G71" s="43">
        <f>'Car+SUV'!G71+'Van+Ute'!G71</f>
        <v>288182.34111183754</v>
      </c>
      <c r="H71" s="43">
        <f>'Car+SUV'!H71+'Van+Ute'!H71</f>
        <v>299176.38626339863</v>
      </c>
      <c r="I71" s="43">
        <f>'Car+SUV'!I71+'Van+Ute'!I71</f>
        <v>297641.94008374528</v>
      </c>
      <c r="J71" s="43">
        <f>'Car+SUV'!J71+'Van+Ute'!J71</f>
        <v>322259.89417270041</v>
      </c>
      <c r="K71" s="43">
        <f>'Car+SUV'!K71+'Van+Ute'!K71</f>
        <v>307320.85351113108</v>
      </c>
      <c r="L71" s="43">
        <f>'Car+SUV'!L71+'Van+Ute'!L71</f>
        <v>286769.21909781435</v>
      </c>
      <c r="M71" s="43">
        <f>'Car+SUV'!M71+'Van+Ute'!M71</f>
        <v>260240.0961042009</v>
      </c>
      <c r="N71" s="43">
        <f>'Car+SUV'!N71+'Van+Ute'!N71</f>
        <v>231272.24729018469</v>
      </c>
      <c r="O71" s="56">
        <f ca="1">'Car+SUV'!O71+'Van+Ute'!O71</f>
        <v>195960.24005635452</v>
      </c>
      <c r="P71" s="56">
        <f ca="1">'Car+SUV'!P71+'Van+Ute'!P71</f>
        <v>158879.24329429242</v>
      </c>
      <c r="Q71" s="57">
        <f ca="1">'Car+SUV'!Q71+'Van+Ute'!Q71</f>
        <v>120495.29065233949</v>
      </c>
    </row>
    <row r="72" spans="3:17" ht="15.5" x14ac:dyDescent="0.35">
      <c r="C72" s="24" t="s">
        <v>3</v>
      </c>
      <c r="D72" s="42">
        <f>'Car+SUV'!D72+'Van+Ute'!D72</f>
        <v>197838.75576075126</v>
      </c>
      <c r="E72" s="43">
        <f>'Car+SUV'!E72+'Van+Ute'!E72</f>
        <v>202626.79333403031</v>
      </c>
      <c r="F72" s="43">
        <f>'Car+SUV'!F72+'Van+Ute'!F72</f>
        <v>207991.84551367775</v>
      </c>
      <c r="G72" s="43">
        <f>'Car+SUV'!G72+'Van+Ute'!G72</f>
        <v>217103.00141679801</v>
      </c>
      <c r="H72" s="43">
        <f>'Car+SUV'!H72+'Van+Ute'!H72</f>
        <v>227149.17848667142</v>
      </c>
      <c r="I72" s="43">
        <f>'Car+SUV'!I72+'Van+Ute'!I72</f>
        <v>232729.60747843358</v>
      </c>
      <c r="J72" s="43">
        <f>'Car+SUV'!J72+'Van+Ute'!J72</f>
        <v>250105.12930517102</v>
      </c>
      <c r="K72" s="43">
        <f>'Car+SUV'!K72+'Van+Ute'!K72</f>
        <v>236934.73512408428</v>
      </c>
      <c r="L72" s="43">
        <f>'Car+SUV'!L72+'Van+Ute'!L72</f>
        <v>219806.07191964993</v>
      </c>
      <c r="M72" s="43">
        <f>'Car+SUV'!M72+'Van+Ute'!M72</f>
        <v>198681.95034703866</v>
      </c>
      <c r="N72" s="43">
        <f>'Car+SUV'!N72+'Van+Ute'!N72</f>
        <v>176015.4223991569</v>
      </c>
      <c r="O72" s="56">
        <f ca="1">'Car+SUV'!O72+'Van+Ute'!O72</f>
        <v>148039.61900615919</v>
      </c>
      <c r="P72" s="56">
        <f ca="1">'Car+SUV'!P72+'Van+Ute'!P72</f>
        <v>119134.10010953524</v>
      </c>
      <c r="Q72" s="57">
        <f ca="1">'Car+SUV'!Q72+'Van+Ute'!Q72</f>
        <v>89675.377239267778</v>
      </c>
    </row>
    <row r="73" spans="3:17" ht="15.5" x14ac:dyDescent="0.35">
      <c r="C73" s="24" t="s">
        <v>4</v>
      </c>
      <c r="D73" s="42">
        <f>'Car+SUV'!D73+'Van+Ute'!D73</f>
        <v>26004.412220173319</v>
      </c>
      <c r="E73" s="43">
        <f>'Car+SUV'!E73+'Van+Ute'!E73</f>
        <v>26292.747154941957</v>
      </c>
      <c r="F73" s="43">
        <f>'Car+SUV'!F73+'Van+Ute'!F73</f>
        <v>26710.059946540623</v>
      </c>
      <c r="G73" s="43">
        <f>'Car+SUV'!G73+'Van+Ute'!G73</f>
        <v>27123.554645722874</v>
      </c>
      <c r="H73" s="43">
        <f>'Car+SUV'!H73+'Van+Ute'!H73</f>
        <v>27848.276612127487</v>
      </c>
      <c r="I73" s="43">
        <f>'Car+SUV'!I73+'Van+Ute'!I73</f>
        <v>27289.517204530908</v>
      </c>
      <c r="J73" s="43">
        <f>'Car+SUV'!J73+'Van+Ute'!J73</f>
        <v>28372.606364386062</v>
      </c>
      <c r="K73" s="43">
        <f>'Car+SUV'!K73+'Van+Ute'!K73</f>
        <v>26637.089307190439</v>
      </c>
      <c r="L73" s="43">
        <f>'Car+SUV'!L73+'Van+Ute'!L73</f>
        <v>24361.98697935338</v>
      </c>
      <c r="M73" s="43">
        <f>'Car+SUV'!M73+'Van+Ute'!M73</f>
        <v>21719.391677094602</v>
      </c>
      <c r="N73" s="43">
        <f>'Car+SUV'!N73+'Van+Ute'!N73</f>
        <v>18976.434893374593</v>
      </c>
      <c r="O73" s="56">
        <f ca="1">'Car+SUV'!O73+'Van+Ute'!O73</f>
        <v>15665.276350962484</v>
      </c>
      <c r="P73" s="56">
        <f ca="1">'Car+SUV'!P73+'Van+Ute'!P73</f>
        <v>12375.082147016288</v>
      </c>
      <c r="Q73" s="57">
        <f ca="1">'Car+SUV'!Q73+'Van+Ute'!Q73</f>
        <v>9145.2391218783087</v>
      </c>
    </row>
    <row r="74" spans="3:17" ht="15.5" x14ac:dyDescent="0.35">
      <c r="C74" s="24" t="s">
        <v>5</v>
      </c>
      <c r="D74" s="42">
        <f>'Car+SUV'!D74+'Van+Ute'!D74</f>
        <v>98002.592468713687</v>
      </c>
      <c r="E74" s="43">
        <f>'Car+SUV'!E74+'Van+Ute'!E74</f>
        <v>99703.927605851248</v>
      </c>
      <c r="F74" s="43">
        <f>'Car+SUV'!F74+'Van+Ute'!F74</f>
        <v>101357.1163114713</v>
      </c>
      <c r="G74" s="43">
        <f>'Car+SUV'!G74+'Van+Ute'!G74</f>
        <v>104904.23115110649</v>
      </c>
      <c r="H74" s="43">
        <f>'Car+SUV'!H74+'Van+Ute'!H74</f>
        <v>109016.88702129821</v>
      </c>
      <c r="I74" s="43">
        <f>'Car+SUV'!I74+'Van+Ute'!I74</f>
        <v>107955.10782281061</v>
      </c>
      <c r="J74" s="43">
        <f>'Car+SUV'!J74+'Van+Ute'!J74</f>
        <v>115549.62603432497</v>
      </c>
      <c r="K74" s="43">
        <f>'Car+SUV'!K74+'Van+Ute'!K74</f>
        <v>109090.86623074365</v>
      </c>
      <c r="L74" s="43">
        <f>'Car+SUV'!L74+'Van+Ute'!L74</f>
        <v>101058.77733246834</v>
      </c>
      <c r="M74" s="43">
        <f>'Car+SUV'!M74+'Van+Ute'!M74</f>
        <v>91191.660022997909</v>
      </c>
      <c r="N74" s="43">
        <f>'Car+SUV'!N74+'Van+Ute'!N74</f>
        <v>80622.928011344848</v>
      </c>
      <c r="O74" s="56">
        <f ca="1">'Car+SUV'!O74+'Van+Ute'!O74</f>
        <v>68023.543489388263</v>
      </c>
      <c r="P74" s="56">
        <f ca="1">'Car+SUV'!P74+'Van+Ute'!P74</f>
        <v>54955.981747260928</v>
      </c>
      <c r="Q74" s="57">
        <f ca="1">'Car+SUV'!Q74+'Van+Ute'!Q74</f>
        <v>41560.197479357135</v>
      </c>
    </row>
    <row r="75" spans="3:17" ht="15.5" x14ac:dyDescent="0.35">
      <c r="C75" s="24" t="s">
        <v>6</v>
      </c>
      <c r="D75" s="42">
        <f>'Car+SUV'!D75+'Van+Ute'!D75</f>
        <v>73773.718446360203</v>
      </c>
      <c r="E75" s="43">
        <f>'Car+SUV'!E75+'Van+Ute'!E75</f>
        <v>75754.926797001535</v>
      </c>
      <c r="F75" s="43">
        <f>'Car+SUV'!F75+'Van+Ute'!F75</f>
        <v>76952.087092408445</v>
      </c>
      <c r="G75" s="43">
        <f>'Car+SUV'!G75+'Van+Ute'!G75</f>
        <v>78405.808090572726</v>
      </c>
      <c r="H75" s="43">
        <f>'Car+SUV'!H75+'Van+Ute'!H75</f>
        <v>80015.029751169437</v>
      </c>
      <c r="I75" s="43">
        <f>'Car+SUV'!I75+'Van+Ute'!I75</f>
        <v>81598.370039127243</v>
      </c>
      <c r="J75" s="43">
        <f>'Car+SUV'!J75+'Van+Ute'!J75</f>
        <v>88400.621671876739</v>
      </c>
      <c r="K75" s="43">
        <f>'Car+SUV'!K75+'Van+Ute'!K75</f>
        <v>84508.825652878018</v>
      </c>
      <c r="L75" s="43">
        <f>'Car+SUV'!L75+'Van+Ute'!L75</f>
        <v>78733.296598040106</v>
      </c>
      <c r="M75" s="43">
        <f>'Car+SUV'!M75+'Van+Ute'!M75</f>
        <v>71814.822598087616</v>
      </c>
      <c r="N75" s="43">
        <f>'Car+SUV'!N75+'Van+Ute'!N75</f>
        <v>64146.993042629321</v>
      </c>
      <c r="O75" s="56">
        <f ca="1">'Car+SUV'!O75+'Van+Ute'!O75</f>
        <v>54579.257814160061</v>
      </c>
      <c r="P75" s="56">
        <f ca="1">'Car+SUV'!P75+'Van+Ute'!P75</f>
        <v>44458.202791092517</v>
      </c>
      <c r="Q75" s="57">
        <f ca="1">'Car+SUV'!Q75+'Van+Ute'!Q75</f>
        <v>33892.209706498499</v>
      </c>
    </row>
    <row r="76" spans="3:17" ht="15.5" x14ac:dyDescent="0.35">
      <c r="C76" s="24" t="s">
        <v>7</v>
      </c>
      <c r="D76" s="42">
        <f>'Car+SUV'!D76+'Van+Ute'!D76</f>
        <v>147242.60342973581</v>
      </c>
      <c r="E76" s="43">
        <f>'Car+SUV'!E76+'Van+Ute'!E76</f>
        <v>149579.2450051631</v>
      </c>
      <c r="F76" s="43">
        <f>'Car+SUV'!F76+'Van+Ute'!F76</f>
        <v>153308.88606128757</v>
      </c>
      <c r="G76" s="43">
        <f>'Car+SUV'!G76+'Van+Ute'!G76</f>
        <v>157805.75275131097</v>
      </c>
      <c r="H76" s="43">
        <f>'Car+SUV'!H76+'Van+Ute'!H76</f>
        <v>163026.86826235204</v>
      </c>
      <c r="I76" s="43">
        <f>'Car+SUV'!I76+'Van+Ute'!I76</f>
        <v>162911.18019604724</v>
      </c>
      <c r="J76" s="43">
        <f>'Car+SUV'!J76+'Van+Ute'!J76</f>
        <v>171905.10131289726</v>
      </c>
      <c r="K76" s="43">
        <f>'Car+SUV'!K76+'Van+Ute'!K76</f>
        <v>160537.36071895843</v>
      </c>
      <c r="L76" s="43">
        <f>'Car+SUV'!L76+'Van+Ute'!L76</f>
        <v>147336.12856932249</v>
      </c>
      <c r="M76" s="43">
        <f>'Car+SUV'!M76+'Van+Ute'!M76</f>
        <v>131501.73652515881</v>
      </c>
      <c r="N76" s="43">
        <f>'Car+SUV'!N76+'Van+Ute'!N76</f>
        <v>115052.88072193036</v>
      </c>
      <c r="O76" s="56">
        <f ca="1">'Car+SUV'!O76+'Van+Ute'!O76</f>
        <v>95983.769589337157</v>
      </c>
      <c r="P76" s="56">
        <f ca="1">'Car+SUV'!P76+'Van+Ute'!P76</f>
        <v>76670.385001687973</v>
      </c>
      <c r="Q76" s="57">
        <f ca="1">'Car+SUV'!Q76+'Van+Ute'!Q76</f>
        <v>57325.235968959525</v>
      </c>
    </row>
    <row r="77" spans="3:17" ht="15.5" x14ac:dyDescent="0.35">
      <c r="C77" s="24" t="s">
        <v>8</v>
      </c>
      <c r="D77" s="42">
        <f>'Car+SUV'!D77+'Van+Ute'!D77</f>
        <v>262793.46636836999</v>
      </c>
      <c r="E77" s="43">
        <f>'Car+SUV'!E77+'Van+Ute'!E77</f>
        <v>267429.46225909749</v>
      </c>
      <c r="F77" s="43">
        <f>'Car+SUV'!F77+'Van+Ute'!F77</f>
        <v>273818.26305253874</v>
      </c>
      <c r="G77" s="43">
        <f>'Car+SUV'!G77+'Van+Ute'!G77</f>
        <v>281208.62722983561</v>
      </c>
      <c r="H77" s="43">
        <f>'Car+SUV'!H77+'Van+Ute'!H77</f>
        <v>290748.55004399025</v>
      </c>
      <c r="I77" s="43">
        <f>'Car+SUV'!I77+'Van+Ute'!I77</f>
        <v>295816.26468001783</v>
      </c>
      <c r="J77" s="43">
        <f>'Car+SUV'!J77+'Van+Ute'!J77</f>
        <v>319219.39724049286</v>
      </c>
      <c r="K77" s="43">
        <f>'Car+SUV'!K77+'Van+Ute'!K77</f>
        <v>304830.82169601746</v>
      </c>
      <c r="L77" s="43">
        <f>'Car+SUV'!L77+'Van+Ute'!L77</f>
        <v>284047.80205528287</v>
      </c>
      <c r="M77" s="43">
        <f>'Car+SUV'!M77+'Van+Ute'!M77</f>
        <v>258878.69886826916</v>
      </c>
      <c r="N77" s="43">
        <f>'Car+SUV'!N77+'Van+Ute'!N77</f>
        <v>230907.39881939124</v>
      </c>
      <c r="O77" s="56">
        <f ca="1">'Car+SUV'!O77+'Van+Ute'!O77</f>
        <v>196666.17021670163</v>
      </c>
      <c r="P77" s="56">
        <f ca="1">'Car+SUV'!P77+'Van+Ute'!P77</f>
        <v>160328.56823210593</v>
      </c>
      <c r="Q77" s="57">
        <f ca="1">'Car+SUV'!Q77+'Van+Ute'!Q77</f>
        <v>122302.28505783579</v>
      </c>
    </row>
    <row r="78" spans="3:17" ht="15.5" x14ac:dyDescent="0.35">
      <c r="C78" s="24" t="s">
        <v>9</v>
      </c>
      <c r="D78" s="42">
        <f>'Car+SUV'!D78+'Van+Ute'!D78</f>
        <v>103882.52149964115</v>
      </c>
      <c r="E78" s="43">
        <f>'Car+SUV'!E78+'Van+Ute'!E78</f>
        <v>106692.11884391919</v>
      </c>
      <c r="F78" s="43">
        <f>'Car+SUV'!F78+'Van+Ute'!F78</f>
        <v>110492.48808594114</v>
      </c>
      <c r="G78" s="43">
        <f>'Car+SUV'!G78+'Van+Ute'!G78</f>
        <v>117329.41236439779</v>
      </c>
      <c r="H78" s="43">
        <f>'Car+SUV'!H78+'Van+Ute'!H78</f>
        <v>124117.61756324989</v>
      </c>
      <c r="I78" s="43">
        <f>'Car+SUV'!I78+'Van+Ute'!I78</f>
        <v>127939.99044558595</v>
      </c>
      <c r="J78" s="43">
        <f>'Car+SUV'!J78+'Van+Ute'!J78</f>
        <v>135120.86759733458</v>
      </c>
      <c r="K78" s="43">
        <f>'Car+SUV'!K78+'Van+Ute'!K78</f>
        <v>126768.87080890921</v>
      </c>
      <c r="L78" s="43">
        <f>'Car+SUV'!L78+'Van+Ute'!L78</f>
        <v>115929.68220467753</v>
      </c>
      <c r="M78" s="43">
        <f>'Car+SUV'!M78+'Van+Ute'!M78</f>
        <v>102818.90300386414</v>
      </c>
      <c r="N78" s="43">
        <f>'Car+SUV'!N78+'Van+Ute'!N78</f>
        <v>89360.66361066878</v>
      </c>
      <c r="O78" s="56">
        <f ca="1">'Car+SUV'!O78+'Van+Ute'!O78</f>
        <v>74353.851813641129</v>
      </c>
      <c r="P78" s="56">
        <f ca="1">'Car+SUV'!P78+'Van+Ute'!P78</f>
        <v>59206.263703261036</v>
      </c>
      <c r="Q78" s="57">
        <f ca="1">'Car+SUV'!Q78+'Van+Ute'!Q78</f>
        <v>44105.15063569964</v>
      </c>
    </row>
    <row r="79" spans="3:17" ht="15.5" x14ac:dyDescent="0.35">
      <c r="C79" s="24" t="s">
        <v>10</v>
      </c>
      <c r="D79" s="42">
        <f>'Car+SUV'!D79+'Van+Ute'!D79</f>
        <v>22386.948116354637</v>
      </c>
      <c r="E79" s="43">
        <f>'Car+SUV'!E79+'Van+Ute'!E79</f>
        <v>22580.32178011513</v>
      </c>
      <c r="F79" s="43">
        <f>'Car+SUV'!F79+'Van+Ute'!F79</f>
        <v>22443.047406007052</v>
      </c>
      <c r="G79" s="43">
        <f>'Car+SUV'!G79+'Van+Ute'!G79</f>
        <v>22440.599430344821</v>
      </c>
      <c r="H79" s="43">
        <f>'Car+SUV'!H79+'Van+Ute'!H79</f>
        <v>22631.842651890169</v>
      </c>
      <c r="I79" s="43">
        <f>'Car+SUV'!I79+'Van+Ute'!I79</f>
        <v>22760.299745558877</v>
      </c>
      <c r="J79" s="43">
        <f>'Car+SUV'!J79+'Van+Ute'!J79</f>
        <v>23034.434536030923</v>
      </c>
      <c r="K79" s="43">
        <f>'Car+SUV'!K79+'Van+Ute'!K79</f>
        <v>21031.729819628432</v>
      </c>
      <c r="L79" s="43">
        <f>'Car+SUV'!L79+'Van+Ute'!L79</f>
        <v>18449.680381840448</v>
      </c>
      <c r="M79" s="43">
        <f>'Car+SUV'!M79+'Van+Ute'!M79</f>
        <v>16009.626828024804</v>
      </c>
      <c r="N79" s="43">
        <f>'Car+SUV'!N79+'Van+Ute'!N79</f>
        <v>13637.459976470862</v>
      </c>
      <c r="O79" s="56">
        <f ca="1">'Car+SUV'!O79+'Van+Ute'!O79</f>
        <v>11072.283200352069</v>
      </c>
      <c r="P79" s="56">
        <f ca="1">'Car+SUV'!P79+'Van+Ute'!P79</f>
        <v>8602.5553512838396</v>
      </c>
      <c r="Q79" s="57">
        <f ca="1">'Car+SUV'!Q79+'Van+Ute'!Q79</f>
        <v>6252.5145516447765</v>
      </c>
    </row>
    <row r="80" spans="3:17" ht="15.5" x14ac:dyDescent="0.35">
      <c r="C80" s="24" t="s">
        <v>11</v>
      </c>
      <c r="D80" s="42">
        <f>'Car+SUV'!D80+'Van+Ute'!D80</f>
        <v>411390.81711041008</v>
      </c>
      <c r="E80" s="43">
        <f>'Car+SUV'!E80+'Van+Ute'!E80</f>
        <v>422132.18241870869</v>
      </c>
      <c r="F80" s="43">
        <f>'Car+SUV'!F80+'Van+Ute'!F80</f>
        <v>436986.39792936906</v>
      </c>
      <c r="G80" s="43">
        <f>'Car+SUV'!G80+'Van+Ute'!G80</f>
        <v>451037.68996802339</v>
      </c>
      <c r="H80" s="43">
        <f>'Car+SUV'!H80+'Van+Ute'!H80</f>
        <v>463116.06374404993</v>
      </c>
      <c r="I80" s="43">
        <f>'Car+SUV'!I80+'Van+Ute'!I80</f>
        <v>464399.9937759866</v>
      </c>
      <c r="J80" s="43">
        <f>'Car+SUV'!J80+'Van+Ute'!J80</f>
        <v>511702.89492461405</v>
      </c>
      <c r="K80" s="43">
        <f>'Car+SUV'!K80+'Van+Ute'!K80</f>
        <v>495968.19651241187</v>
      </c>
      <c r="L80" s="43">
        <f>'Car+SUV'!L80+'Van+Ute'!L80</f>
        <v>469460.07544785371</v>
      </c>
      <c r="M80" s="43">
        <f>'Car+SUV'!M80+'Van+Ute'!M80</f>
        <v>432716.19451696455</v>
      </c>
      <c r="N80" s="43">
        <f>'Car+SUV'!N80+'Van+Ute'!N80</f>
        <v>390026.51782895054</v>
      </c>
      <c r="O80" s="56">
        <f ca="1">'Car+SUV'!O80+'Van+Ute'!O80</f>
        <v>335998.37846100912</v>
      </c>
      <c r="P80" s="56">
        <f ca="1">'Car+SUV'!P80+'Van+Ute'!P80</f>
        <v>277014.64525760227</v>
      </c>
      <c r="Q80" s="57">
        <f ca="1">'Car+SUV'!Q80+'Van+Ute'!Q80</f>
        <v>213668.42747493909</v>
      </c>
    </row>
    <row r="81" spans="3:17" ht="15.5" x14ac:dyDescent="0.35">
      <c r="C81" s="24" t="s">
        <v>12</v>
      </c>
      <c r="D81" s="42">
        <f>'Car+SUV'!D81+'Van+Ute'!D81</f>
        <v>125275.28116763497</v>
      </c>
      <c r="E81" s="43">
        <f>'Car+SUV'!E81+'Van+Ute'!E81</f>
        <v>128402.12575403877</v>
      </c>
      <c r="F81" s="43">
        <f>'Car+SUV'!F81+'Van+Ute'!F81</f>
        <v>131750.67808368758</v>
      </c>
      <c r="G81" s="43">
        <f>'Car+SUV'!G81+'Van+Ute'!G81</f>
        <v>136620.23872400052</v>
      </c>
      <c r="H81" s="43">
        <f>'Car+SUV'!H81+'Van+Ute'!H81</f>
        <v>148018.31643069838</v>
      </c>
      <c r="I81" s="43">
        <f>'Car+SUV'!I81+'Van+Ute'!I81</f>
        <v>220773.23655345957</v>
      </c>
      <c r="J81" s="43">
        <f>'Car+SUV'!J81+'Van+Ute'!J81</f>
        <v>242157.26070336698</v>
      </c>
      <c r="K81" s="43">
        <f>'Car+SUV'!K81+'Van+Ute'!K81</f>
        <v>233770.15395073697</v>
      </c>
      <c r="L81" s="43">
        <f>'Car+SUV'!L81+'Van+Ute'!L81</f>
        <v>220078.24420358759</v>
      </c>
      <c r="M81" s="43">
        <f>'Car+SUV'!M81+'Van+Ute'!M81</f>
        <v>201972.51062449251</v>
      </c>
      <c r="N81" s="43">
        <f>'Car+SUV'!N81+'Van+Ute'!N81</f>
        <v>181278.67081916553</v>
      </c>
      <c r="O81" s="56">
        <f ca="1">'Car+SUV'!O81+'Van+Ute'!O81</f>
        <v>155425.06675084587</v>
      </c>
      <c r="P81" s="56">
        <f ca="1">'Car+SUV'!P81+'Van+Ute'!P81</f>
        <v>127526.09778720487</v>
      </c>
      <c r="Q81" s="57">
        <f ca="1">'Car+SUV'!Q81+'Van+Ute'!Q81</f>
        <v>97888.881995340693</v>
      </c>
    </row>
    <row r="82" spans="3:17" ht="16" thickBot="1" x14ac:dyDescent="0.4">
      <c r="C82" s="25" t="s">
        <v>13</v>
      </c>
      <c r="D82" s="45">
        <f>'Car+SUV'!D82+'Van+Ute'!D82</f>
        <v>72226.226001653238</v>
      </c>
      <c r="E82" s="46">
        <f>'Car+SUV'!E82+'Van+Ute'!E82</f>
        <v>73270.008492807407</v>
      </c>
      <c r="F82" s="46">
        <f>'Car+SUV'!F82+'Van+Ute'!F82</f>
        <v>74595.629237584639</v>
      </c>
      <c r="G82" s="46">
        <f>'Car+SUV'!G82+'Van+Ute'!G82</f>
        <v>76565.654773242393</v>
      </c>
      <c r="H82" s="46">
        <f>'Car+SUV'!H82+'Van+Ute'!H82</f>
        <v>78398.94124277879</v>
      </c>
      <c r="I82" s="46">
        <f>'Car+SUV'!I82+'Van+Ute'!I82</f>
        <v>78957.253129591438</v>
      </c>
      <c r="J82" s="46">
        <f>'Car+SUV'!J82+'Van+Ute'!J82</f>
        <v>81453.464791331091</v>
      </c>
      <c r="K82" s="46">
        <f>'Car+SUV'!K82+'Van+Ute'!K82</f>
        <v>75069.584779130499</v>
      </c>
      <c r="L82" s="46">
        <f>'Car+SUV'!L82+'Van+Ute'!L82</f>
        <v>67903.041212134078</v>
      </c>
      <c r="M82" s="46">
        <f>'Car+SUV'!M82+'Van+Ute'!M82</f>
        <v>59831.476256678274</v>
      </c>
      <c r="N82" s="46">
        <f>'Car+SUV'!N82+'Van+Ute'!N82</f>
        <v>51598.97140913015</v>
      </c>
      <c r="O82" s="59">
        <f ca="1">'Car+SUV'!O82+'Van+Ute'!O82</f>
        <v>42423.14353302482</v>
      </c>
      <c r="P82" s="59">
        <f ca="1">'Car+SUV'!P82+'Van+Ute'!P82</f>
        <v>33377.30307991225</v>
      </c>
      <c r="Q82" s="60">
        <f ca="1">'Car+SUV'!Q82+'Van+Ute'!Q82</f>
        <v>24566.120820839344</v>
      </c>
    </row>
    <row r="83" spans="3:17" ht="16.5" thickTop="1" thickBot="1" x14ac:dyDescent="0.4">
      <c r="C83" s="20" t="s">
        <v>24</v>
      </c>
      <c r="D83" s="48">
        <f t="shared" ref="D83:N83" si="64">SUM(D69:D82)</f>
        <v>2738408.9999999995</v>
      </c>
      <c r="E83" s="48">
        <f t="shared" si="64"/>
        <v>2810372</v>
      </c>
      <c r="F83" s="48">
        <f t="shared" si="64"/>
        <v>2911524.9999999995</v>
      </c>
      <c r="G83" s="48">
        <f t="shared" ref="G83:H83" si="65">SUM(G69:G82)</f>
        <v>3017219.9999999995</v>
      </c>
      <c r="H83" s="48">
        <f t="shared" si="65"/>
        <v>3133908</v>
      </c>
      <c r="I83" s="48">
        <f t="shared" si="64"/>
        <v>3233850.9999999991</v>
      </c>
      <c r="J83" s="48">
        <f t="shared" si="64"/>
        <v>3507753.4615065069</v>
      </c>
      <c r="K83" s="48">
        <f t="shared" si="64"/>
        <v>3357423.7229869477</v>
      </c>
      <c r="L83" s="48">
        <f t="shared" si="64"/>
        <v>3142610.6584514296</v>
      </c>
      <c r="M83" s="48">
        <f t="shared" si="64"/>
        <v>2867032.7627339135</v>
      </c>
      <c r="N83" s="48">
        <f t="shared" si="64"/>
        <v>2559827.3773408532</v>
      </c>
      <c r="O83" s="62">
        <f t="shared" ref="O83:Q83" ca="1" si="66">SUM(O69:O82)</f>
        <v>2182060.6012423821</v>
      </c>
      <c r="P83" s="62">
        <f t="shared" ca="1" si="66"/>
        <v>1780530.5509477619</v>
      </c>
      <c r="Q83" s="63">
        <f t="shared" ca="1" si="66"/>
        <v>1359589.6941444422</v>
      </c>
    </row>
    <row r="84" spans="3:17" ht="13" thickTop="1" x14ac:dyDescent="0.25">
      <c r="N84" s="121"/>
      <c r="O84" s="56"/>
      <c r="P84" s="56"/>
      <c r="Q84" s="56"/>
    </row>
    <row r="85" spans="3:17" x14ac:dyDescent="0.25">
      <c r="N85" s="121"/>
    </row>
    <row r="86" spans="3:17" ht="13" thickBot="1" x14ac:dyDescent="0.3">
      <c r="N86" s="121"/>
    </row>
    <row r="87" spans="3:17" ht="16" thickTop="1" x14ac:dyDescent="0.35">
      <c r="C87" s="32" t="s">
        <v>117</v>
      </c>
      <c r="D87" s="33"/>
      <c r="E87" s="33"/>
      <c r="F87" s="33"/>
      <c r="G87" s="33"/>
      <c r="H87" s="33"/>
      <c r="I87" s="33"/>
      <c r="J87" s="34"/>
      <c r="K87" s="34"/>
      <c r="L87" s="34"/>
      <c r="M87" s="34"/>
      <c r="N87" s="34"/>
      <c r="O87" s="34"/>
      <c r="P87" s="34"/>
      <c r="Q87" s="35"/>
    </row>
    <row r="88" spans="3:17" ht="13.5" thickBot="1" x14ac:dyDescent="0.35">
      <c r="C88" s="36"/>
      <c r="D88" s="37" t="s">
        <v>25</v>
      </c>
      <c r="E88" s="37" t="s">
        <v>37</v>
      </c>
      <c r="F88" s="37" t="s">
        <v>38</v>
      </c>
      <c r="G88" s="37" t="s">
        <v>177</v>
      </c>
      <c r="H88" s="37" t="s">
        <v>178</v>
      </c>
      <c r="I88" s="37" t="s">
        <v>26</v>
      </c>
      <c r="J88" s="37" t="s">
        <v>27</v>
      </c>
      <c r="K88" s="37" t="s">
        <v>28</v>
      </c>
      <c r="L88" s="37" t="s">
        <v>29</v>
      </c>
      <c r="M88" s="37" t="s">
        <v>30</v>
      </c>
      <c r="N88" s="37" t="s">
        <v>31</v>
      </c>
      <c r="O88" s="37" t="s">
        <v>174</v>
      </c>
      <c r="P88" s="37" t="s">
        <v>175</v>
      </c>
      <c r="Q88" s="38" t="s">
        <v>176</v>
      </c>
    </row>
    <row r="89" spans="3:17" ht="14" thickTop="1" thickBot="1" x14ac:dyDescent="0.35">
      <c r="C89" s="70"/>
      <c r="D89" s="65" t="s">
        <v>39</v>
      </c>
      <c r="E89" s="65" t="s">
        <v>39</v>
      </c>
      <c r="F89" s="65" t="s">
        <v>39</v>
      </c>
      <c r="G89" s="65" t="s">
        <v>39</v>
      </c>
      <c r="H89" s="65" t="s">
        <v>39</v>
      </c>
      <c r="I89" s="65" t="s">
        <v>39</v>
      </c>
      <c r="J89" s="65" t="s">
        <v>32</v>
      </c>
      <c r="K89" s="65" t="s">
        <v>32</v>
      </c>
      <c r="L89" s="65" t="s">
        <v>32</v>
      </c>
      <c r="M89" s="65" t="s">
        <v>32</v>
      </c>
      <c r="N89" s="65" t="s">
        <v>32</v>
      </c>
      <c r="O89" s="65" t="s">
        <v>32</v>
      </c>
      <c r="P89" s="65" t="s">
        <v>32</v>
      </c>
      <c r="Q89" s="66" t="s">
        <v>32</v>
      </c>
    </row>
    <row r="90" spans="3:17" ht="16" thickTop="1" x14ac:dyDescent="0.35">
      <c r="C90" s="24" t="s">
        <v>0</v>
      </c>
      <c r="D90" s="52">
        <f>'Car+SUV'!D90+'Van+Ute'!D90</f>
        <v>264.44463387948065</v>
      </c>
      <c r="E90" s="53">
        <f>'Car+SUV'!E90+'Van+Ute'!E90</f>
        <v>281.35885698948084</v>
      </c>
      <c r="F90" s="53">
        <f>'Car+SUV'!F90+'Van+Ute'!F90</f>
        <v>287.7825961001198</v>
      </c>
      <c r="G90" s="53">
        <f>'Car+SUV'!G90+'Van+Ute'!G90</f>
        <v>286.37760392811424</v>
      </c>
      <c r="H90" s="53">
        <f>'Car+SUV'!H90+'Van+Ute'!H90</f>
        <v>306.94453394573111</v>
      </c>
      <c r="I90" s="53">
        <f>'Car+SUV'!I90+'Van+Ute'!I90</f>
        <v>339.43315218135149</v>
      </c>
      <c r="J90" s="53">
        <f>'Car+SUV'!J90+'Van+Ute'!J90</f>
        <v>387.90920817016723</v>
      </c>
      <c r="K90" s="53">
        <f>'Car+SUV'!K90+'Van+Ute'!K90</f>
        <v>432.45702451251316</v>
      </c>
      <c r="L90" s="53">
        <f>'Car+SUV'!L90+'Van+Ute'!L90</f>
        <v>476.46702924277787</v>
      </c>
      <c r="M90" s="53">
        <f>'Car+SUV'!M90+'Van+Ute'!M90</f>
        <v>523.13891782024916</v>
      </c>
      <c r="N90" s="53">
        <f>'Car+SUV'!N90+'Van+Ute'!N90</f>
        <v>573.72110192994387</v>
      </c>
      <c r="O90" s="156">
        <f>'Car+SUV'!O90+'Van+Ute'!O90</f>
        <v>627.52563439970766</v>
      </c>
      <c r="P90" s="156">
        <f>'Car+SUV'!P90+'Van+Ute'!P90</f>
        <v>680.95868615586369</v>
      </c>
      <c r="Q90" s="157">
        <f>'Car+SUV'!Q90+'Van+Ute'!Q90</f>
        <v>731.78580890032163</v>
      </c>
    </row>
    <row r="91" spans="3:17" ht="15.5" x14ac:dyDescent="0.35">
      <c r="C91" s="24" t="s">
        <v>1</v>
      </c>
      <c r="D91" s="55">
        <f>'Car+SUV'!D91+'Van+Ute'!D91</f>
        <v>2576.2807468857873</v>
      </c>
      <c r="E91" s="56">
        <f>'Car+SUV'!E91+'Van+Ute'!E91</f>
        <v>2642.1759097979211</v>
      </c>
      <c r="F91" s="56">
        <f>'Car+SUV'!F91+'Van+Ute'!F91</f>
        <v>2628.7882208272599</v>
      </c>
      <c r="G91" s="56">
        <f>'Car+SUV'!G91+'Van+Ute'!G91</f>
        <v>2672.9585512585932</v>
      </c>
      <c r="H91" s="56">
        <f>'Car+SUV'!H91+'Van+Ute'!H91</f>
        <v>3075.1134971968922</v>
      </c>
      <c r="I91" s="56">
        <f>'Car+SUV'!I91+'Van+Ute'!I91</f>
        <v>3088.0330452777171</v>
      </c>
      <c r="J91" s="56">
        <f>'Car+SUV'!J91+'Van+Ute'!J91</f>
        <v>3604.03917365297</v>
      </c>
      <c r="K91" s="56">
        <f>'Car+SUV'!K91+'Van+Ute'!K91</f>
        <v>4084.9416440292152</v>
      </c>
      <c r="L91" s="56">
        <f>'Car+SUV'!L91+'Van+Ute'!L91</f>
        <v>4581.8637553390072</v>
      </c>
      <c r="M91" s="56">
        <f>'Car+SUV'!M91+'Van+Ute'!M91</f>
        <v>5121.6888220958635</v>
      </c>
      <c r="N91" s="56">
        <f>'Car+SUV'!N91+'Van+Ute'!N91</f>
        <v>5723.9571656169446</v>
      </c>
      <c r="O91" s="159">
        <f>'Car+SUV'!O91+'Van+Ute'!O91</f>
        <v>6379.0194108030901</v>
      </c>
      <c r="P91" s="159">
        <f>'Car+SUV'!P91+'Van+Ute'!P91</f>
        <v>7051.6756924344127</v>
      </c>
      <c r="Q91" s="160">
        <f>'Car+SUV'!Q91+'Van+Ute'!Q91</f>
        <v>7718.3007401223003</v>
      </c>
    </row>
    <row r="92" spans="3:17" ht="15.5" x14ac:dyDescent="0.35">
      <c r="C92" s="24" t="s">
        <v>2</v>
      </c>
      <c r="D92" s="55">
        <f>'Car+SUV'!D92+'Van+Ute'!D92</f>
        <v>968.93589041091695</v>
      </c>
      <c r="E92" s="56">
        <f>'Car+SUV'!E92+'Van+Ute'!E92</f>
        <v>978.64522219363425</v>
      </c>
      <c r="F92" s="56">
        <f>'Car+SUV'!F92+'Van+Ute'!F92</f>
        <v>1029.4515955469242</v>
      </c>
      <c r="G92" s="56">
        <f>'Car+SUV'!G92+'Van+Ute'!G92</f>
        <v>1034.2236322522645</v>
      </c>
      <c r="H92" s="56">
        <f>'Car+SUV'!H92+'Van+Ute'!H92</f>
        <v>1147.7344631702367</v>
      </c>
      <c r="I92" s="56">
        <f>'Car+SUV'!I92+'Van+Ute'!I92</f>
        <v>1252.834419308982</v>
      </c>
      <c r="J92" s="56">
        <f>'Car+SUV'!J92+'Van+Ute'!J92</f>
        <v>1435.7079908891533</v>
      </c>
      <c r="K92" s="56">
        <f>'Car+SUV'!K92+'Van+Ute'!K92</f>
        <v>1603.7319435637078</v>
      </c>
      <c r="L92" s="56">
        <f>'Car+SUV'!L92+'Van+Ute'!L92</f>
        <v>1771.8919992729125</v>
      </c>
      <c r="M92" s="56">
        <f>'Car+SUV'!M92+'Van+Ute'!M92</f>
        <v>1950.5821430269796</v>
      </c>
      <c r="N92" s="56">
        <f>'Car+SUV'!N92+'Van+Ute'!N92</f>
        <v>2146.3552743477271</v>
      </c>
      <c r="O92" s="159">
        <f>'Car+SUV'!O92+'Van+Ute'!O92</f>
        <v>2354.4232642043585</v>
      </c>
      <c r="P92" s="159">
        <f>'Car+SUV'!P92+'Van+Ute'!P92</f>
        <v>2561.0621596074243</v>
      </c>
      <c r="Q92" s="160">
        <f>'Car+SUV'!Q92+'Van+Ute'!Q92</f>
        <v>2757.5219640070445</v>
      </c>
    </row>
    <row r="93" spans="3:17" ht="15.5" x14ac:dyDescent="0.35">
      <c r="C93" s="24" t="s">
        <v>3</v>
      </c>
      <c r="D93" s="55">
        <f>'Car+SUV'!D93+'Van+Ute'!D93</f>
        <v>504.81934412716737</v>
      </c>
      <c r="E93" s="56">
        <f>'Car+SUV'!E93+'Van+Ute'!E93</f>
        <v>526.58496646670642</v>
      </c>
      <c r="F93" s="56">
        <f>'Car+SUV'!F93+'Van+Ute'!F93</f>
        <v>518.00640580187064</v>
      </c>
      <c r="G93" s="56">
        <f>'Car+SUV'!G93+'Van+Ute'!G93</f>
        <v>514.42173269503144</v>
      </c>
      <c r="H93" s="56">
        <f>'Car+SUV'!H93+'Van+Ute'!H93</f>
        <v>617.18081948590407</v>
      </c>
      <c r="I93" s="56">
        <f>'Car+SUV'!I93+'Van+Ute'!I93</f>
        <v>622.73315255654279</v>
      </c>
      <c r="J93" s="56">
        <f>'Car+SUV'!J93+'Van+Ute'!J93</f>
        <v>707.24442906915533</v>
      </c>
      <c r="K93" s="56">
        <f>'Car+SUV'!K93+'Van+Ute'!K93</f>
        <v>784.20548764701175</v>
      </c>
      <c r="L93" s="56">
        <f>'Car+SUV'!L93+'Van+Ute'!L93</f>
        <v>860.15553879716185</v>
      </c>
      <c r="M93" s="56">
        <f>'Car+SUV'!M93+'Van+Ute'!M93</f>
        <v>939.81439490423963</v>
      </c>
      <c r="N93" s="56">
        <f>'Car+SUV'!N93+'Van+Ute'!N93</f>
        <v>1026.5623033797826</v>
      </c>
      <c r="O93" s="159">
        <f>'Car+SUV'!O93+'Van+Ute'!O93</f>
        <v>1117.766365152806</v>
      </c>
      <c r="P93" s="159">
        <f>'Car+SUV'!P93+'Van+Ute'!P93</f>
        <v>1206.8284675705142</v>
      </c>
      <c r="Q93" s="160">
        <f>'Car+SUV'!Q93+'Van+Ute'!Q93</f>
        <v>1289.6700661785476</v>
      </c>
    </row>
    <row r="94" spans="3:17" ht="15.5" x14ac:dyDescent="0.35">
      <c r="C94" s="24" t="s">
        <v>4</v>
      </c>
      <c r="D94" s="55">
        <f>'Car+SUV'!D94+'Van+Ute'!D94</f>
        <v>68.930314037627284</v>
      </c>
      <c r="E94" s="56">
        <f>'Car+SUV'!E94+'Van+Ute'!E94</f>
        <v>72.046269923023999</v>
      </c>
      <c r="F94" s="56">
        <f>'Car+SUV'!F94+'Van+Ute'!F94</f>
        <v>74.328092920971287</v>
      </c>
      <c r="G94" s="56">
        <f>'Car+SUV'!G94+'Van+Ute'!G94</f>
        <v>73.350015048188524</v>
      </c>
      <c r="H94" s="56">
        <f>'Car+SUV'!H94+'Van+Ute'!H94</f>
        <v>73.663530598269887</v>
      </c>
      <c r="I94" s="56">
        <f>'Car+SUV'!I94+'Van+Ute'!I94</f>
        <v>78.728618420606026</v>
      </c>
      <c r="J94" s="56">
        <f>'Car+SUV'!J94+'Van+Ute'!J94</f>
        <v>87.180680709282157</v>
      </c>
      <c r="K94" s="56">
        <f>'Car+SUV'!K94+'Van+Ute'!K94</f>
        <v>94.782174475014116</v>
      </c>
      <c r="L94" s="56">
        <f>'Car+SUV'!L94+'Van+Ute'!L94</f>
        <v>102.02426444589169</v>
      </c>
      <c r="M94" s="56">
        <f>'Car+SUV'!M94+'Van+Ute'!M94</f>
        <v>109.31886402379368</v>
      </c>
      <c r="N94" s="56">
        <f>'Car+SUV'!N94+'Van+Ute'!N94</f>
        <v>117.18742044571935</v>
      </c>
      <c r="O94" s="159">
        <f>'Car+SUV'!O94+'Van+Ute'!O94</f>
        <v>125.23995953338246</v>
      </c>
      <c r="P94" s="159">
        <f>'Car+SUV'!P94+'Van+Ute'!P94</f>
        <v>132.73618383371448</v>
      </c>
      <c r="Q94" s="160">
        <f>'Car+SUV'!Q94+'Van+Ute'!Q94</f>
        <v>139.26187963518467</v>
      </c>
    </row>
    <row r="95" spans="3:17" ht="15.5" x14ac:dyDescent="0.35">
      <c r="C95" s="24" t="s">
        <v>5</v>
      </c>
      <c r="D95" s="55">
        <f>'Car+SUV'!D95+'Van+Ute'!D95</f>
        <v>261.55089461233894</v>
      </c>
      <c r="E95" s="56">
        <f>'Car+SUV'!E95+'Van+Ute'!E95</f>
        <v>261.37522654075269</v>
      </c>
      <c r="F95" s="56">
        <f>'Car+SUV'!F95+'Van+Ute'!F95</f>
        <v>271.455928097536</v>
      </c>
      <c r="G95" s="56">
        <f>'Car+SUV'!G95+'Van+Ute'!G95</f>
        <v>272.40361518343775</v>
      </c>
      <c r="H95" s="56">
        <f>'Car+SUV'!H95+'Van+Ute'!H95</f>
        <v>300.79619040836644</v>
      </c>
      <c r="I95" s="56">
        <f>'Car+SUV'!I95+'Van+Ute'!I95</f>
        <v>317.50215653342428</v>
      </c>
      <c r="J95" s="56">
        <f>'Car+SUV'!J95+'Van+Ute'!J95</f>
        <v>360.39462788060018</v>
      </c>
      <c r="K95" s="56">
        <f>'Car+SUV'!K95+'Van+Ute'!K95</f>
        <v>399.70200566399126</v>
      </c>
      <c r="L95" s="56">
        <f>'Car+SUV'!L95+'Van+Ute'!L95</f>
        <v>438.59102948692652</v>
      </c>
      <c r="M95" s="56">
        <f>'Car+SUV'!M95+'Van+Ute'!M95</f>
        <v>479.84682562249304</v>
      </c>
      <c r="N95" s="56">
        <f>'Car+SUV'!N95+'Van+Ute'!N95</f>
        <v>525.41100469705714</v>
      </c>
      <c r="O95" s="159">
        <f>'Car+SUV'!O95+'Van+Ute'!O95</f>
        <v>573.90279245866191</v>
      </c>
      <c r="P95" s="159">
        <f>'Car+SUV'!P95+'Van+Ute'!P95</f>
        <v>622.05736458117099</v>
      </c>
      <c r="Q95" s="160">
        <f>'Car+SUV'!Q95+'Van+Ute'!Q95</f>
        <v>667.86551292958904</v>
      </c>
    </row>
    <row r="96" spans="3:17" ht="15.5" x14ac:dyDescent="0.35">
      <c r="C96" s="24" t="s">
        <v>6</v>
      </c>
      <c r="D96" s="55">
        <f>'Car+SUV'!D96+'Van+Ute'!D96</f>
        <v>159.4315852873292</v>
      </c>
      <c r="E96" s="56">
        <f>'Car+SUV'!E96+'Van+Ute'!E96</f>
        <v>166.98303230993344</v>
      </c>
      <c r="F96" s="56">
        <f>'Car+SUV'!F96+'Van+Ute'!F96</f>
        <v>170.94024187262471</v>
      </c>
      <c r="G96" s="56">
        <f>'Car+SUV'!G96+'Van+Ute'!G96</f>
        <v>169.93759351347759</v>
      </c>
      <c r="H96" s="56">
        <f>'Car+SUV'!H96+'Van+Ute'!H96</f>
        <v>177.88588135380564</v>
      </c>
      <c r="I96" s="56">
        <f>'Car+SUV'!I96+'Van+Ute'!I96</f>
        <v>184.44102204156064</v>
      </c>
      <c r="J96" s="56">
        <f>'Car+SUV'!J96+'Van+Ute'!J96</f>
        <v>211.12151843626904</v>
      </c>
      <c r="K96" s="56">
        <f>'Car+SUV'!K96+'Van+Ute'!K96</f>
        <v>235.84635592912409</v>
      </c>
      <c r="L96" s="56">
        <f>'Car+SUV'!L96+'Van+Ute'!L96</f>
        <v>260.95022082987191</v>
      </c>
      <c r="M96" s="56">
        <f>'Car+SUV'!M96+'Van+Ute'!M96</f>
        <v>287.98831085519078</v>
      </c>
      <c r="N96" s="56">
        <f>'Car+SUV'!N96+'Van+Ute'!N96</f>
        <v>318.05544619904458</v>
      </c>
      <c r="O96" s="159">
        <f>'Car+SUV'!O96+'Van+Ute'!O96</f>
        <v>350.34235682984092</v>
      </c>
      <c r="P96" s="159">
        <f>'Car+SUV'!P96+'Van+Ute'!P96</f>
        <v>382.87173216452572</v>
      </c>
      <c r="Q96" s="160">
        <f>'Car+SUV'!Q96+'Van+Ute'!Q96</f>
        <v>414.37852062039116</v>
      </c>
    </row>
    <row r="97" spans="3:17" ht="15.5" x14ac:dyDescent="0.35">
      <c r="C97" s="24" t="s">
        <v>7</v>
      </c>
      <c r="D97" s="55">
        <f>'Car+SUV'!D97+'Van+Ute'!D97</f>
        <v>393.73172237166631</v>
      </c>
      <c r="E97" s="56">
        <f>'Car+SUV'!E97+'Van+Ute'!E97</f>
        <v>409.69447988807269</v>
      </c>
      <c r="F97" s="56">
        <f>'Car+SUV'!F97+'Van+Ute'!F97</f>
        <v>412.23285411061852</v>
      </c>
      <c r="G97" s="56">
        <f>'Car+SUV'!G97+'Van+Ute'!G97</f>
        <v>413.80320184128533</v>
      </c>
      <c r="H97" s="56">
        <f>'Car+SUV'!H97+'Van+Ute'!H97</f>
        <v>439.92442527319372</v>
      </c>
      <c r="I97" s="56">
        <f>'Car+SUV'!I97+'Van+Ute'!I97</f>
        <v>448.42095393902554</v>
      </c>
      <c r="J97" s="56">
        <f>'Car+SUV'!J97+'Van+Ute'!J97</f>
        <v>502.86386156558416</v>
      </c>
      <c r="K97" s="56">
        <f>'Car+SUV'!K97+'Van+Ute'!K97</f>
        <v>552.10170645822427</v>
      </c>
      <c r="L97" s="56">
        <f>'Car+SUV'!L97+'Van+Ute'!L97</f>
        <v>599.81925946321326</v>
      </c>
      <c r="M97" s="56">
        <f>'Car+SUV'!M97+'Van+Ute'!M97</f>
        <v>649.70536700152797</v>
      </c>
      <c r="N97" s="56">
        <f>'Car+SUV'!N97+'Van+Ute'!N97</f>
        <v>703.46869816039703</v>
      </c>
      <c r="O97" s="159">
        <f>'Car+SUV'!O97+'Van+Ute'!O97</f>
        <v>759.77250094343367</v>
      </c>
      <c r="P97" s="159">
        <f>'Car+SUV'!P97+'Van+Ute'!P97</f>
        <v>814.23504717206777</v>
      </c>
      <c r="Q97" s="160">
        <f>'Car+SUV'!Q97+'Van+Ute'!Q97</f>
        <v>864.29887738554862</v>
      </c>
    </row>
    <row r="98" spans="3:17" ht="15.5" x14ac:dyDescent="0.35">
      <c r="C98" s="24" t="s">
        <v>8</v>
      </c>
      <c r="D98" s="55">
        <f>'Car+SUV'!D98+'Van+Ute'!D98</f>
        <v>614.06755625747019</v>
      </c>
      <c r="E98" s="56">
        <f>'Car+SUV'!E98+'Van+Ute'!E98</f>
        <v>635.64698077122694</v>
      </c>
      <c r="F98" s="56">
        <f>'Car+SUV'!F98+'Van+Ute'!F98</f>
        <v>671.22653652223266</v>
      </c>
      <c r="G98" s="56">
        <f>'Car+SUV'!G98+'Van+Ute'!G98</f>
        <v>627.77574847287281</v>
      </c>
      <c r="H98" s="56">
        <f>'Car+SUV'!H98+'Van+Ute'!H98</f>
        <v>654.9026181183408</v>
      </c>
      <c r="I98" s="56">
        <f>'Car+SUV'!I98+'Van+Ute'!I98</f>
        <v>689.9746642959874</v>
      </c>
      <c r="J98" s="56">
        <f>'Car+SUV'!J98+'Van+Ute'!J98</f>
        <v>792.77386050054838</v>
      </c>
      <c r="K98" s="56">
        <f>'Car+SUV'!K98+'Van+Ute'!K98</f>
        <v>888.79225792468469</v>
      </c>
      <c r="L98" s="56">
        <f>'Car+SUV'!L98+'Van+Ute'!L98</f>
        <v>986.09274894865348</v>
      </c>
      <c r="M98" s="56">
        <f>'Car+SUV'!M98+'Van+Ute'!M98</f>
        <v>1090.5545165886936</v>
      </c>
      <c r="N98" s="56">
        <f>'Car+SUV'!N98+'Van+Ute'!N98</f>
        <v>1205.8728285612428</v>
      </c>
      <c r="O98" s="159">
        <f>'Car+SUV'!O98+'Van+Ute'!O98</f>
        <v>1329.6330734947919</v>
      </c>
      <c r="P98" s="159">
        <f>'Car+SUV'!P98+'Van+Ute'!P98</f>
        <v>1454.284723026404</v>
      </c>
      <c r="Q98" s="160">
        <f>'Car+SUV'!Q98+'Van+Ute'!Q98</f>
        <v>1574.9582623585343</v>
      </c>
    </row>
    <row r="99" spans="3:17" ht="15.5" x14ac:dyDescent="0.35">
      <c r="C99" s="24" t="s">
        <v>9</v>
      </c>
      <c r="D99" s="55">
        <f>'Car+SUV'!D99+'Van+Ute'!D99</f>
        <v>247.59569500173262</v>
      </c>
      <c r="E99" s="56">
        <f>'Car+SUV'!E99+'Van+Ute'!E99</f>
        <v>257.12996068440185</v>
      </c>
      <c r="F99" s="56">
        <f>'Car+SUV'!F99+'Van+Ute'!F99</f>
        <v>242.59884365545966</v>
      </c>
      <c r="G99" s="56">
        <f>'Car+SUV'!G99+'Van+Ute'!G99</f>
        <v>275.93195922123573</v>
      </c>
      <c r="H99" s="56">
        <f>'Car+SUV'!H99+'Van+Ute'!H99</f>
        <v>303.61389322623683</v>
      </c>
      <c r="I99" s="56">
        <f>'Car+SUV'!I99+'Van+Ute'!I99</f>
        <v>348.68623761648087</v>
      </c>
      <c r="J99" s="56">
        <f>'Car+SUV'!J99+'Van+Ute'!J99</f>
        <v>390.52675593611406</v>
      </c>
      <c r="K99" s="56">
        <f>'Car+SUV'!K99+'Van+Ute'!K99</f>
        <v>428.76821914149821</v>
      </c>
      <c r="L99" s="56">
        <f>'Car+SUV'!L99+'Van+Ute'!L99</f>
        <v>465.78990910352638</v>
      </c>
      <c r="M99" s="56">
        <f>'Car+SUV'!M99+'Van+Ute'!M99</f>
        <v>504.16598462357172</v>
      </c>
      <c r="N99" s="56">
        <f>'Car+SUV'!N99+'Van+Ute'!N99</f>
        <v>544.719090873239</v>
      </c>
      <c r="O99" s="159">
        <f>'Car+SUV'!O99+'Van+Ute'!O99</f>
        <v>586.77036389930652</v>
      </c>
      <c r="P99" s="159">
        <f>'Car+SUV'!P99+'Van+Ute'!P99</f>
        <v>626.85736590811007</v>
      </c>
      <c r="Q99" s="160">
        <f>'Car+SUV'!Q99+'Van+Ute'!Q99</f>
        <v>662.95849208650748</v>
      </c>
    </row>
    <row r="100" spans="3:17" ht="15.5" x14ac:dyDescent="0.35">
      <c r="C100" s="24" t="s">
        <v>10</v>
      </c>
      <c r="D100" s="55">
        <f>'Car+SUV'!D100+'Van+Ute'!D100</f>
        <v>105.03531456220671</v>
      </c>
      <c r="E100" s="56">
        <f>'Car+SUV'!E100+'Van+Ute'!E100</f>
        <v>103.65457409729865</v>
      </c>
      <c r="F100" s="56">
        <f>'Car+SUV'!F100+'Van+Ute'!F100</f>
        <v>110.24522204843223</v>
      </c>
      <c r="G100" s="56">
        <f>'Car+SUV'!G100+'Van+Ute'!G100</f>
        <v>106.1197591238957</v>
      </c>
      <c r="H100" s="56">
        <f>'Car+SUV'!H100+'Van+Ute'!H100</f>
        <v>108.30076052865169</v>
      </c>
      <c r="I100" s="56">
        <f>'Car+SUV'!I100+'Van+Ute'!I100</f>
        <v>123.83926583071496</v>
      </c>
      <c r="J100" s="56">
        <f>'Car+SUV'!J100+'Van+Ute'!J100</f>
        <v>134.63587085252692</v>
      </c>
      <c r="K100" s="56">
        <f>'Car+SUV'!K100+'Van+Ute'!K100</f>
        <v>143.72863531823873</v>
      </c>
      <c r="L100" s="56">
        <f>'Car+SUV'!L100+'Van+Ute'!L100</f>
        <v>151.88339157618202</v>
      </c>
      <c r="M100" s="56">
        <f>'Car+SUV'!M100+'Van+Ute'!M100</f>
        <v>159.99994986699045</v>
      </c>
      <c r="N100" s="56">
        <f>'Car+SUV'!N100+'Van+Ute'!N100</f>
        <v>168.68870005821259</v>
      </c>
      <c r="O100" s="159">
        <f>'Car+SUV'!O100+'Van+Ute'!O100</f>
        <v>177.30793668597343</v>
      </c>
      <c r="P100" s="159">
        <f>'Car+SUV'!P100+'Van+Ute'!P100</f>
        <v>184.82250209365407</v>
      </c>
      <c r="Q100" s="160">
        <f>'Car+SUV'!Q100+'Van+Ute'!Q100</f>
        <v>190.71200450904126</v>
      </c>
    </row>
    <row r="101" spans="3:17" ht="15.5" x14ac:dyDescent="0.35">
      <c r="C101" s="24" t="s">
        <v>11</v>
      </c>
      <c r="D101" s="55">
        <f>'Car+SUV'!D101+'Van+Ute'!D101</f>
        <v>1169.5585121661452</v>
      </c>
      <c r="E101" s="56">
        <f>'Car+SUV'!E101+'Van+Ute'!E101</f>
        <v>1285.3020082383496</v>
      </c>
      <c r="F101" s="56">
        <f>'Car+SUV'!F101+'Van+Ute'!F101</f>
        <v>1331.9255878099048</v>
      </c>
      <c r="G101" s="56">
        <f>'Car+SUV'!G101+'Van+Ute'!G101</f>
        <v>1365.7480186102398</v>
      </c>
      <c r="H101" s="56">
        <f>'Car+SUV'!H101+'Van+Ute'!H101</f>
        <v>1479.518745453435</v>
      </c>
      <c r="I101" s="56">
        <f>'Car+SUV'!I101+'Van+Ute'!I101</f>
        <v>1589.2943024058968</v>
      </c>
      <c r="J101" s="56">
        <f>'Car+SUV'!J101+'Van+Ute'!J101</f>
        <v>1860.4745152379946</v>
      </c>
      <c r="K101" s="56">
        <f>'Car+SUV'!K101+'Van+Ute'!K101</f>
        <v>2111.6715666407513</v>
      </c>
      <c r="L101" s="56">
        <f>'Car+SUV'!L101+'Van+Ute'!L101</f>
        <v>2370.5623871026019</v>
      </c>
      <c r="M101" s="56">
        <f>'Car+SUV'!M101+'Van+Ute'!M101</f>
        <v>2652.5692853740779</v>
      </c>
      <c r="N101" s="56">
        <f>'Car+SUV'!N101+'Van+Ute'!N101</f>
        <v>2967.1227086543568</v>
      </c>
      <c r="O101" s="159">
        <f>'Car+SUV'!O101+'Van+Ute'!O101</f>
        <v>3309.1544781648927</v>
      </c>
      <c r="P101" s="159">
        <f>'Car+SUV'!P101+'Van+Ute'!P101</f>
        <v>3660.319276621814</v>
      </c>
      <c r="Q101" s="160">
        <f>'Car+SUV'!Q101+'Van+Ute'!Q101</f>
        <v>4008.2291563620965</v>
      </c>
    </row>
    <row r="102" spans="3:17" ht="15.5" x14ac:dyDescent="0.35">
      <c r="C102" s="24" t="s">
        <v>12</v>
      </c>
      <c r="D102" s="55">
        <f>'Car+SUV'!D102+'Van+Ute'!D102</f>
        <v>462.78997233820382</v>
      </c>
      <c r="E102" s="56">
        <f>'Car+SUV'!E102+'Van+Ute'!E102</f>
        <v>494.34181176216669</v>
      </c>
      <c r="F102" s="56">
        <f>'Car+SUV'!F102+'Van+Ute'!F102</f>
        <v>511.31779594649481</v>
      </c>
      <c r="G102" s="56">
        <f>'Car+SUV'!G102+'Van+Ute'!G102</f>
        <v>518.75339554502341</v>
      </c>
      <c r="H102" s="56">
        <f>'Car+SUV'!H102+'Van+Ute'!H102</f>
        <v>573.10126537715951</v>
      </c>
      <c r="I102" s="56">
        <f>'Car+SUV'!I102+'Van+Ute'!I102</f>
        <v>599.70597400627548</v>
      </c>
      <c r="J102" s="56">
        <f>'Car+SUV'!J102+'Van+Ute'!J102</f>
        <v>700.15147424317729</v>
      </c>
      <c r="K102" s="56">
        <f>'Car+SUV'!K102+'Van+Ute'!K102</f>
        <v>790.75989954191118</v>
      </c>
      <c r="L102" s="56">
        <f>'Car+SUV'!L102+'Van+Ute'!L102</f>
        <v>883.58017240639367</v>
      </c>
      <c r="M102" s="56">
        <f>'Car+SUV'!M102+'Van+Ute'!M102</f>
        <v>983.72422029997688</v>
      </c>
      <c r="N102" s="56">
        <f>'Car+SUV'!N102+'Van+Ute'!N102</f>
        <v>1095.2051218896779</v>
      </c>
      <c r="O102" s="159">
        <f>'Car+SUV'!O102+'Van+Ute'!O102</f>
        <v>1215.6493121635467</v>
      </c>
      <c r="P102" s="159">
        <f>'Car+SUV'!P102+'Van+Ute'!P102</f>
        <v>1338.2051471066447</v>
      </c>
      <c r="Q102" s="160">
        <f>'Car+SUV'!Q102+'Van+Ute'!Q102</f>
        <v>1458.3203751695905</v>
      </c>
    </row>
    <row r="103" spans="3:17" ht="16" thickBot="1" x14ac:dyDescent="0.4">
      <c r="C103" s="25" t="s">
        <v>13</v>
      </c>
      <c r="D103" s="58">
        <f>'Car+SUV'!D103+'Van+Ute'!D103</f>
        <v>199.49208451932276</v>
      </c>
      <c r="E103" s="59">
        <f>'Car+SUV'!E103+'Van+Ute'!E103</f>
        <v>211.81395987269906</v>
      </c>
      <c r="F103" s="59">
        <f>'Car+SUV'!F103+'Van+Ute'!F103</f>
        <v>206.72386004046069</v>
      </c>
      <c r="G103" s="59">
        <f>'Car+SUV'!G103+'Van+Ute'!G103</f>
        <v>224.21614437990669</v>
      </c>
      <c r="H103" s="59">
        <f>'Car+SUV'!H103+'Van+Ute'!H103</f>
        <v>244.62206664795562</v>
      </c>
      <c r="I103" s="59">
        <f>'Car+SUV'!I103+'Van+Ute'!I103</f>
        <v>250.29535163457126</v>
      </c>
      <c r="J103" s="59">
        <f>'Car+SUV'!J103+'Van+Ute'!J103</f>
        <v>274.58550306360883</v>
      </c>
      <c r="K103" s="59">
        <f>'Car+SUV'!K103+'Van+Ute'!K103</f>
        <v>296.4181993566857</v>
      </c>
      <c r="L103" s="59">
        <f>'Car+SUV'!L103+'Van+Ute'!L103</f>
        <v>317.16385538712586</v>
      </c>
      <c r="M103" s="59">
        <f>'Car+SUV'!M103+'Van+Ute'!M103</f>
        <v>338.48670353151391</v>
      </c>
      <c r="N103" s="59">
        <f>'Car+SUV'!N103+'Van+Ute'!N103</f>
        <v>361.38145651465504</v>
      </c>
      <c r="O103" s="162">
        <f>'Car+SUV'!O103+'Van+Ute'!O103</f>
        <v>384.65036962024612</v>
      </c>
      <c r="P103" s="162">
        <f>'Car+SUV'!P103+'Van+Ute'!P103</f>
        <v>406.02327424905945</v>
      </c>
      <c r="Q103" s="163">
        <f>'Car+SUV'!Q103+'Van+Ute'!Q103</f>
        <v>424.26012963100698</v>
      </c>
    </row>
    <row r="104" spans="3:17" ht="16.5" thickTop="1" thickBot="1" x14ac:dyDescent="0.4">
      <c r="C104" s="31" t="s">
        <v>24</v>
      </c>
      <c r="D104" s="61">
        <f t="shared" ref="D104:N104" si="67">SUM(D90:D103)</f>
        <v>7996.6642664573938</v>
      </c>
      <c r="E104" s="62">
        <f t="shared" si="67"/>
        <v>8326.7532595356679</v>
      </c>
      <c r="F104" s="62">
        <f t="shared" si="67"/>
        <v>8467.0237813009098</v>
      </c>
      <c r="G104" s="62">
        <f t="shared" ref="G104:H104" si="68">SUM(G90:G103)</f>
        <v>8556.0209710735671</v>
      </c>
      <c r="H104" s="62">
        <f t="shared" si="68"/>
        <v>9503.3026907841795</v>
      </c>
      <c r="I104" s="62">
        <f t="shared" si="67"/>
        <v>9933.9223160491365</v>
      </c>
      <c r="J104" s="62">
        <f t="shared" si="67"/>
        <v>11449.609470207153</v>
      </c>
      <c r="K104" s="62">
        <f t="shared" si="67"/>
        <v>12847.907120202573</v>
      </c>
      <c r="L104" s="62">
        <f t="shared" si="67"/>
        <v>14266.835561402246</v>
      </c>
      <c r="M104" s="62">
        <f t="shared" si="67"/>
        <v>15791.584305635166</v>
      </c>
      <c r="N104" s="62">
        <f t="shared" si="67"/>
        <v>17477.708321328002</v>
      </c>
      <c r="O104" s="125">
        <f t="shared" ref="O104:Q104" si="69">SUM(O90:O103)</f>
        <v>19291.157818354037</v>
      </c>
      <c r="P104" s="125">
        <f t="shared" si="69"/>
        <v>21122.937622525376</v>
      </c>
      <c r="Q104" s="126">
        <f t="shared" si="69"/>
        <v>22902.521789895705</v>
      </c>
    </row>
    <row r="105" spans="3:17" ht="13" thickTop="1" x14ac:dyDescent="0.25">
      <c r="N105" s="121"/>
    </row>
    <row r="106" spans="3:17" ht="13" thickBot="1" x14ac:dyDescent="0.3">
      <c r="N106" s="121"/>
    </row>
    <row r="107" spans="3:17" ht="16" thickTop="1" x14ac:dyDescent="0.35">
      <c r="C107" s="32" t="s">
        <v>118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</row>
    <row r="108" spans="3:17" ht="13.5" thickBot="1" x14ac:dyDescent="0.35">
      <c r="C108" s="18"/>
      <c r="D108" s="65" t="s">
        <v>25</v>
      </c>
      <c r="E108" s="65" t="s">
        <v>37</v>
      </c>
      <c r="F108" s="65" t="s">
        <v>38</v>
      </c>
      <c r="G108" s="37" t="s">
        <v>177</v>
      </c>
      <c r="H108" s="37" t="s">
        <v>178</v>
      </c>
      <c r="I108" s="65" t="s">
        <v>26</v>
      </c>
      <c r="J108" s="65" t="s">
        <v>27</v>
      </c>
      <c r="K108" s="65" t="s">
        <v>28</v>
      </c>
      <c r="L108" s="65" t="s">
        <v>29</v>
      </c>
      <c r="M108" s="65" t="s">
        <v>30</v>
      </c>
      <c r="N108" s="65" t="s">
        <v>31</v>
      </c>
      <c r="O108" s="37" t="s">
        <v>174</v>
      </c>
      <c r="P108" s="37" t="s">
        <v>175</v>
      </c>
      <c r="Q108" s="38" t="s">
        <v>176</v>
      </c>
    </row>
    <row r="109" spans="3:17" ht="14" thickTop="1" thickBot="1" x14ac:dyDescent="0.35">
      <c r="C109" s="70"/>
      <c r="D109" s="71" t="s">
        <v>39</v>
      </c>
      <c r="E109" s="71" t="s">
        <v>39</v>
      </c>
      <c r="F109" s="71" t="s">
        <v>39</v>
      </c>
      <c r="G109" s="71" t="s">
        <v>39</v>
      </c>
      <c r="H109" s="71" t="s">
        <v>39</v>
      </c>
      <c r="I109" s="71" t="s">
        <v>39</v>
      </c>
      <c r="J109" s="71" t="s">
        <v>32</v>
      </c>
      <c r="K109" s="71" t="s">
        <v>32</v>
      </c>
      <c r="L109" s="71" t="s">
        <v>32</v>
      </c>
      <c r="M109" s="71" t="s">
        <v>32</v>
      </c>
      <c r="N109" s="71" t="s">
        <v>32</v>
      </c>
      <c r="O109" s="65" t="s">
        <v>32</v>
      </c>
      <c r="P109" s="65" t="s">
        <v>32</v>
      </c>
      <c r="Q109" s="66" t="s">
        <v>32</v>
      </c>
    </row>
    <row r="110" spans="3:17" ht="16" thickTop="1" x14ac:dyDescent="0.35">
      <c r="C110" s="24" t="s">
        <v>0</v>
      </c>
      <c r="D110" s="42">
        <f>'Car+SUV'!D110+'Van+Ute'!D110</f>
        <v>13017.065895264179</v>
      </c>
      <c r="E110" s="43">
        <f>'Car+SUV'!E110+'Van+Ute'!E110</f>
        <v>13369.360534529711</v>
      </c>
      <c r="F110" s="43">
        <f>'Car+SUV'!F110+'Van+Ute'!F110</f>
        <v>13723.340308440806</v>
      </c>
      <c r="G110" s="43">
        <f>'Car+SUV'!G110+'Van+Ute'!G110</f>
        <v>14487.426336273676</v>
      </c>
      <c r="H110" s="43">
        <f>'Car+SUV'!H110+'Van+Ute'!H110</f>
        <v>15446.928133845789</v>
      </c>
      <c r="I110" s="43">
        <f>'Car+SUV'!I110+'Van+Ute'!I110</f>
        <v>16771.985958719844</v>
      </c>
      <c r="J110" s="43">
        <f>'Car+SUV'!J110+'Van+Ute'!J110</f>
        <v>19167.272704146955</v>
      </c>
      <c r="K110" s="43">
        <f>'Car+SUV'!K110+'Van+Ute'!K110</f>
        <v>21368.458255363439</v>
      </c>
      <c r="L110" s="43">
        <f>'Car+SUV'!L110+'Van+Ute'!L110</f>
        <v>23543.069593812856</v>
      </c>
      <c r="M110" s="43">
        <f>'Car+SUV'!M110+'Van+Ute'!M110</f>
        <v>25849.209270676431</v>
      </c>
      <c r="N110" s="43">
        <f>'Car+SUV'!N110+'Van+Ute'!N110</f>
        <v>28348.56349166872</v>
      </c>
      <c r="O110" s="53">
        <f>'Car+SUV'!O110+'Van+Ute'!O110</f>
        <v>31007.139583305841</v>
      </c>
      <c r="P110" s="53">
        <f>'Car+SUV'!P110+'Van+Ute'!P110</f>
        <v>33647.360162900237</v>
      </c>
      <c r="Q110" s="54">
        <f>'Car+SUV'!Q110+'Van+Ute'!Q110</f>
        <v>36158.817230407658</v>
      </c>
    </row>
    <row r="111" spans="3:17" ht="15.5" x14ac:dyDescent="0.35">
      <c r="C111" s="24" t="s">
        <v>1</v>
      </c>
      <c r="D111" s="42">
        <f>'Car+SUV'!D111+'Van+Ute'!D111</f>
        <v>154107.70548428103</v>
      </c>
      <c r="E111" s="43">
        <f>'Car+SUV'!E111+'Van+Ute'!E111</f>
        <v>161875.45494236297</v>
      </c>
      <c r="F111" s="43">
        <f>'Car+SUV'!F111+'Van+Ute'!F111</f>
        <v>172062.445910029</v>
      </c>
      <c r="G111" s="43">
        <f>'Car+SUV'!G111+'Van+Ute'!G111</f>
        <v>187947.50620608334</v>
      </c>
      <c r="H111" s="43">
        <f>'Car+SUV'!H111+'Van+Ute'!H111</f>
        <v>207725.90918991546</v>
      </c>
      <c r="I111" s="43">
        <f>'Car+SUV'!I111+'Van+Ute'!I111</f>
        <v>214279.36471083583</v>
      </c>
      <c r="J111" s="43">
        <f>'Car+SUV'!J111+'Van+Ute'!J111</f>
        <v>250085.15556667926</v>
      </c>
      <c r="K111" s="43">
        <f>'Car+SUV'!K111+'Van+Ute'!K111</f>
        <v>283455.09504892526</v>
      </c>
      <c r="L111" s="43">
        <f>'Car+SUV'!L111+'Van+Ute'!L111</f>
        <v>317936.64131510304</v>
      </c>
      <c r="M111" s="43">
        <f>'Car+SUV'!M111+'Van+Ute'!M111</f>
        <v>355395.23410332913</v>
      </c>
      <c r="N111" s="43">
        <f>'Car+SUV'!N111+'Van+Ute'!N111</f>
        <v>397186.78106636961</v>
      </c>
      <c r="O111" s="56">
        <f>'Car+SUV'!O111+'Van+Ute'!O111</f>
        <v>442641.7097172116</v>
      </c>
      <c r="P111" s="56">
        <f>'Car+SUV'!P111+'Van+Ute'!P111</f>
        <v>489317.49283978192</v>
      </c>
      <c r="Q111" s="57">
        <f>'Car+SUV'!Q111+'Van+Ute'!Q111</f>
        <v>535574.76717087463</v>
      </c>
    </row>
    <row r="112" spans="3:17" ht="15.5" x14ac:dyDescent="0.35">
      <c r="C112" s="24" t="s">
        <v>2</v>
      </c>
      <c r="D112" s="42">
        <f>'Car+SUV'!D112+'Van+Ute'!D112</f>
        <v>39929.383206022132</v>
      </c>
      <c r="E112" s="43">
        <f>'Car+SUV'!E112+'Van+Ute'!E112</f>
        <v>42645.612607749892</v>
      </c>
      <c r="F112" s="43">
        <f>'Car+SUV'!F112+'Van+Ute'!F112</f>
        <v>45113.52729849382</v>
      </c>
      <c r="G112" s="43">
        <f>'Car+SUV'!G112+'Van+Ute'!G112</f>
        <v>48157.195920931001</v>
      </c>
      <c r="H112" s="43">
        <f>'Car+SUV'!H112+'Van+Ute'!H112</f>
        <v>51251.373008244642</v>
      </c>
      <c r="I112" s="43">
        <f>'Car+SUV'!I112+'Van+Ute'!I112</f>
        <v>52983.146426094703</v>
      </c>
      <c r="J112" s="43">
        <f>'Car+SUV'!J112+'Van+Ute'!J112</f>
        <v>60716.983452889785</v>
      </c>
      <c r="K112" s="43">
        <f>'Car+SUV'!K112+'Van+Ute'!K112</f>
        <v>67822.820864794063</v>
      </c>
      <c r="L112" s="43">
        <f>'Car+SUV'!L112+'Van+Ute'!L112</f>
        <v>74934.414158643121</v>
      </c>
      <c r="M112" s="43">
        <f>'Car+SUV'!M112+'Van+Ute'!M112</f>
        <v>82491.331422014307</v>
      </c>
      <c r="N112" s="43">
        <f>'Car+SUV'!N112+'Van+Ute'!N112</f>
        <v>90770.698849342341</v>
      </c>
      <c r="O112" s="56">
        <f>'Car+SUV'!O112+'Van+Ute'!O112</f>
        <v>99570.023487340062</v>
      </c>
      <c r="P112" s="56">
        <f>'Car+SUV'!P112+'Van+Ute'!P112</f>
        <v>108308.91083248967</v>
      </c>
      <c r="Q112" s="57">
        <f>'Car+SUV'!Q112+'Van+Ute'!Q112</f>
        <v>116617.31809119848</v>
      </c>
    </row>
    <row r="113" spans="3:17" ht="15.5" x14ac:dyDescent="0.35">
      <c r="C113" s="24" t="s">
        <v>3</v>
      </c>
      <c r="D113" s="42">
        <f>'Car+SUV'!D113+'Van+Ute'!D113</f>
        <v>30845.71035848841</v>
      </c>
      <c r="E113" s="43">
        <f>'Car+SUV'!E113+'Van+Ute'!E113</f>
        <v>31955.275590359044</v>
      </c>
      <c r="F113" s="43">
        <f>'Car+SUV'!F113+'Van+Ute'!F113</f>
        <v>33119.153376446709</v>
      </c>
      <c r="G113" s="43">
        <f>'Car+SUV'!G113+'Van+Ute'!G113</f>
        <v>35542.704531094496</v>
      </c>
      <c r="H113" s="43">
        <f>'Car+SUV'!H113+'Van+Ute'!H113</f>
        <v>38100.567100041342</v>
      </c>
      <c r="I113" s="43">
        <f>'Car+SUV'!I113+'Van+Ute'!I113</f>
        <v>39154.930271863719</v>
      </c>
      <c r="J113" s="43">
        <f>'Car+SUV'!J113+'Van+Ute'!J113</f>
        <v>44468.655943048521</v>
      </c>
      <c r="K113" s="43">
        <f>'Car+SUV'!K113+'Van+Ute'!K113</f>
        <v>49307.654589408805</v>
      </c>
      <c r="L113" s="43">
        <f>'Car+SUV'!L113+'Van+Ute'!L113</f>
        <v>54083.085196756459</v>
      </c>
      <c r="M113" s="43">
        <f>'Car+SUV'!M113+'Van+Ute'!M113</f>
        <v>59091.710389753323</v>
      </c>
      <c r="N113" s="43">
        <f>'Car+SUV'!N113+'Van+Ute'!N113</f>
        <v>64546.066390627224</v>
      </c>
      <c r="O113" s="56">
        <f>'Car+SUV'!O113+'Van+Ute'!O113</f>
        <v>70280.607204092637</v>
      </c>
      <c r="P113" s="56">
        <f>'Car+SUV'!P113+'Van+Ute'!P113</f>
        <v>75880.470316751191</v>
      </c>
      <c r="Q113" s="57">
        <f>'Car+SUV'!Q113+'Van+Ute'!Q113</f>
        <v>81089.213425723137</v>
      </c>
    </row>
    <row r="114" spans="3:17" ht="15.5" x14ac:dyDescent="0.35">
      <c r="C114" s="24" t="s">
        <v>4</v>
      </c>
      <c r="D114" s="42">
        <f>'Car+SUV'!D114+'Van+Ute'!D114</f>
        <v>3874.5217583538483</v>
      </c>
      <c r="E114" s="43">
        <f>'Car+SUV'!E114+'Van+Ute'!E114</f>
        <v>4013.3221455838461</v>
      </c>
      <c r="F114" s="43">
        <f>'Car+SUV'!F114+'Van+Ute'!F114</f>
        <v>4108.01486132843</v>
      </c>
      <c r="G114" s="43">
        <f>'Car+SUV'!G114+'Van+Ute'!G114</f>
        <v>4213.9576290426876</v>
      </c>
      <c r="H114" s="43">
        <f>'Car+SUV'!H114+'Van+Ute'!H114</f>
        <v>4271.6651259005357</v>
      </c>
      <c r="I114" s="43">
        <f>'Car+SUV'!I114+'Van+Ute'!I114</f>
        <v>4334.9744868941252</v>
      </c>
      <c r="J114" s="43">
        <f>'Car+SUV'!J114+'Van+Ute'!J114</f>
        <v>4800.3640125594347</v>
      </c>
      <c r="K114" s="43">
        <f>'Car+SUV'!K114+'Van+Ute'!K114</f>
        <v>5218.9193257072648</v>
      </c>
      <c r="L114" s="43">
        <f>'Car+SUV'!L114+'Van+Ute'!L114</f>
        <v>5617.6850589991009</v>
      </c>
      <c r="M114" s="43">
        <f>'Car+SUV'!M114+'Van+Ute'!M114</f>
        <v>6019.3420891450423</v>
      </c>
      <c r="N114" s="43">
        <f>'Car+SUV'!N114+'Van+Ute'!N114</f>
        <v>6452.6024717355622</v>
      </c>
      <c r="O114" s="56">
        <f>'Car+SUV'!O114+'Van+Ute'!O114</f>
        <v>6895.9933529681584</v>
      </c>
      <c r="P114" s="56">
        <f>'Car+SUV'!P114+'Van+Ute'!P114</f>
        <v>7308.7522930065334</v>
      </c>
      <c r="Q114" s="57">
        <f>'Car+SUV'!Q114+'Van+Ute'!Q114</f>
        <v>7668.0717549266374</v>
      </c>
    </row>
    <row r="115" spans="3:17" ht="15.5" x14ac:dyDescent="0.35">
      <c r="C115" s="24" t="s">
        <v>5</v>
      </c>
      <c r="D115" s="42">
        <f>'Car+SUV'!D115+'Van+Ute'!D115</f>
        <v>15011.977990505577</v>
      </c>
      <c r="E115" s="43">
        <f>'Car+SUV'!E115+'Van+Ute'!E115</f>
        <v>15342.089055263001</v>
      </c>
      <c r="F115" s="43">
        <f>'Car+SUV'!F115+'Van+Ute'!F115</f>
        <v>15806.028543982968</v>
      </c>
      <c r="G115" s="43">
        <f>'Car+SUV'!G115+'Van+Ute'!G115</f>
        <v>16678.097285185402</v>
      </c>
      <c r="H115" s="43">
        <f>'Car+SUV'!H115+'Van+Ute'!H115</f>
        <v>17902.592711187412</v>
      </c>
      <c r="I115" s="43">
        <f>'Car+SUV'!I115+'Van+Ute'!I115</f>
        <v>18460.261938758915</v>
      </c>
      <c r="J115" s="43">
        <f>'Car+SUV'!J115+'Van+Ute'!J115</f>
        <v>20954.122972380654</v>
      </c>
      <c r="K115" s="43">
        <f>'Car+SUV'!K115+'Van+Ute'!K115</f>
        <v>23239.538913896518</v>
      </c>
      <c r="L115" s="43">
        <f>'Car+SUV'!L115+'Van+Ute'!L115</f>
        <v>25500.630851514416</v>
      </c>
      <c r="M115" s="43">
        <f>'Car+SUV'!M115+'Van+Ute'!M115</f>
        <v>27899.332049231856</v>
      </c>
      <c r="N115" s="43">
        <f>'Car+SUV'!N115+'Van+Ute'!N115</f>
        <v>30548.531947351046</v>
      </c>
      <c r="O115" s="56">
        <f>'Car+SUV'!O115+'Van+Ute'!O115</f>
        <v>33367.949345115056</v>
      </c>
      <c r="P115" s="56">
        <f>'Car+SUV'!P115+'Van+Ute'!P115</f>
        <v>36167.760296436245</v>
      </c>
      <c r="Q115" s="57">
        <f>'Car+SUV'!Q115+'Van+Ute'!Q115</f>
        <v>38831.145095689732</v>
      </c>
    </row>
    <row r="116" spans="3:17" ht="15.5" x14ac:dyDescent="0.35">
      <c r="C116" s="24" t="s">
        <v>6</v>
      </c>
      <c r="D116" s="42">
        <f>'Car+SUV'!D116+'Van+Ute'!D116</f>
        <v>9763.0583722037154</v>
      </c>
      <c r="E116" s="43">
        <f>'Car+SUV'!E116+'Van+Ute'!E116</f>
        <v>10238.719425219133</v>
      </c>
      <c r="F116" s="43">
        <f>'Car+SUV'!F116+'Van+Ute'!F116</f>
        <v>10450.930913498003</v>
      </c>
      <c r="G116" s="43">
        <f>'Car+SUV'!G116+'Van+Ute'!G116</f>
        <v>10740.783150352327</v>
      </c>
      <c r="H116" s="43">
        <f>'Car+SUV'!H116+'Van+Ute'!H116</f>
        <v>10981.110939407376</v>
      </c>
      <c r="I116" s="43">
        <f>'Car+SUV'!I116+'Van+Ute'!I116</f>
        <v>11415.20313329666</v>
      </c>
      <c r="J116" s="43">
        <f>'Car+SUV'!J116+'Van+Ute'!J116</f>
        <v>13066.480504629797</v>
      </c>
      <c r="K116" s="43">
        <f>'Car+SUV'!K116+'Van+Ute'!K116</f>
        <v>14596.720574298746</v>
      </c>
      <c r="L116" s="43">
        <f>'Car+SUV'!L116+'Van+Ute'!L116</f>
        <v>16150.418954956709</v>
      </c>
      <c r="M116" s="43">
        <f>'Car+SUV'!M116+'Van+Ute'!M116</f>
        <v>17823.828083571432</v>
      </c>
      <c r="N116" s="43">
        <f>'Car+SUV'!N116+'Van+Ute'!N116</f>
        <v>19684.707262114887</v>
      </c>
      <c r="O116" s="56">
        <f>'Car+SUV'!O116+'Van+Ute'!O116</f>
        <v>21682.970117728895</v>
      </c>
      <c r="P116" s="56">
        <f>'Car+SUV'!P116+'Van+Ute'!P116</f>
        <v>23696.239308793156</v>
      </c>
      <c r="Q116" s="57">
        <f>'Car+SUV'!Q116+'Van+Ute'!Q116</f>
        <v>25646.219775830839</v>
      </c>
    </row>
    <row r="117" spans="3:17" ht="15.5" x14ac:dyDescent="0.35">
      <c r="C117" s="24" t="s">
        <v>7</v>
      </c>
      <c r="D117" s="42">
        <f>'Car+SUV'!D117+'Van+Ute'!D117</f>
        <v>20119.788646181587</v>
      </c>
      <c r="E117" s="43">
        <f>'Car+SUV'!E117+'Van+Ute'!E117</f>
        <v>20628.653069727494</v>
      </c>
      <c r="F117" s="43">
        <f>'Car+SUV'!F117+'Van+Ute'!F117</f>
        <v>21230.186884695453</v>
      </c>
      <c r="G117" s="43">
        <f>'Car+SUV'!G117+'Van+Ute'!G117</f>
        <v>22362.252767609243</v>
      </c>
      <c r="H117" s="43">
        <f>'Car+SUV'!H117+'Van+Ute'!H117</f>
        <v>23188.021508204929</v>
      </c>
      <c r="I117" s="43">
        <f>'Car+SUV'!I117+'Van+Ute'!I117</f>
        <v>23768.037276394381</v>
      </c>
      <c r="J117" s="43">
        <f>'Car+SUV'!J117+'Van+Ute'!J117</f>
        <v>26653.721021849538</v>
      </c>
      <c r="K117" s="43">
        <f>'Car+SUV'!K117+'Van+Ute'!K117</f>
        <v>29263.516399468586</v>
      </c>
      <c r="L117" s="43">
        <f>'Car+SUV'!L117+'Van+Ute'!L117</f>
        <v>31792.730452911594</v>
      </c>
      <c r="M117" s="43">
        <f>'Car+SUV'!M117+'Van+Ute'!M117</f>
        <v>34436.886246991882</v>
      </c>
      <c r="N117" s="43">
        <f>'Car+SUV'!N117+'Van+Ute'!N117</f>
        <v>37286.549822840061</v>
      </c>
      <c r="O117" s="56">
        <f>'Car+SUV'!O117+'Van+Ute'!O117</f>
        <v>40270.868177267228</v>
      </c>
      <c r="P117" s="56">
        <f>'Car+SUV'!P117+'Van+Ute'!P117</f>
        <v>43157.592844254003</v>
      </c>
      <c r="Q117" s="57">
        <f>'Car+SUV'!Q117+'Van+Ute'!Q117</f>
        <v>45811.16862446809</v>
      </c>
    </row>
    <row r="118" spans="3:17" ht="15.5" x14ac:dyDescent="0.35">
      <c r="C118" s="24" t="s">
        <v>8</v>
      </c>
      <c r="D118" s="42">
        <f>'Car+SUV'!D118+'Van+Ute'!D118</f>
        <v>38253.386319960067</v>
      </c>
      <c r="E118" s="43">
        <f>'Car+SUV'!E118+'Van+Ute'!E118</f>
        <v>39494.581418085581</v>
      </c>
      <c r="F118" s="43">
        <f>'Car+SUV'!F118+'Van+Ute'!F118</f>
        <v>40455.687588811168</v>
      </c>
      <c r="G118" s="43">
        <f>'Car+SUV'!G118+'Van+Ute'!G118</f>
        <v>42564.785020606418</v>
      </c>
      <c r="H118" s="43">
        <f>'Car+SUV'!H118+'Van+Ute'!H118</f>
        <v>44881.920870022688</v>
      </c>
      <c r="I118" s="43">
        <f>'Car+SUV'!I118+'Van+Ute'!I118</f>
        <v>46913.948087908138</v>
      </c>
      <c r="J118" s="43">
        <f>'Car+SUV'!J118+'Van+Ute'!J118</f>
        <v>53903.64844037006</v>
      </c>
      <c r="K118" s="43">
        <f>'Car+SUV'!K118+'Van+Ute'!K118</f>
        <v>60432.297020294835</v>
      </c>
      <c r="L118" s="43">
        <f>'Car+SUV'!L118+'Van+Ute'!L118</f>
        <v>67048.119920812576</v>
      </c>
      <c r="M118" s="43">
        <f>'Car+SUV'!M118+'Van+Ute'!M118</f>
        <v>74150.864699472513</v>
      </c>
      <c r="N118" s="43">
        <f>'Car+SUV'!N118+'Van+Ute'!N118</f>
        <v>81991.786375901735</v>
      </c>
      <c r="O118" s="56">
        <f>'Car+SUV'!O118+'Van+Ute'!O118</f>
        <v>90406.706526750349</v>
      </c>
      <c r="P118" s="56">
        <f>'Car+SUV'!P118+'Van+Ute'!P118</f>
        <v>98882.236597358147</v>
      </c>
      <c r="Q118" s="57">
        <f>'Car+SUV'!Q118+'Van+Ute'!Q118</f>
        <v>107087.28013412071</v>
      </c>
    </row>
    <row r="119" spans="3:17" ht="15.5" x14ac:dyDescent="0.35">
      <c r="C119" s="24" t="s">
        <v>9</v>
      </c>
      <c r="D119" s="42">
        <f>'Car+SUV'!D119+'Van+Ute'!D119</f>
        <v>16900.771429295783</v>
      </c>
      <c r="E119" s="43">
        <f>'Car+SUV'!E119+'Van+Ute'!E119</f>
        <v>17542.037900866282</v>
      </c>
      <c r="F119" s="43">
        <f>'Car+SUV'!F119+'Van+Ute'!F119</f>
        <v>18286.963449942632</v>
      </c>
      <c r="G119" s="43">
        <f>'Car+SUV'!G119+'Van+Ute'!G119</f>
        <v>19911.548495450166</v>
      </c>
      <c r="H119" s="43">
        <f>'Car+SUV'!H119+'Van+Ute'!H119</f>
        <v>21672.179694295563</v>
      </c>
      <c r="I119" s="43">
        <f>'Car+SUV'!I119+'Van+Ute'!I119</f>
        <v>24209.786765664372</v>
      </c>
      <c r="J119" s="43">
        <f>'Car+SUV'!J119+'Van+Ute'!J119</f>
        <v>27114.834104519581</v>
      </c>
      <c r="K119" s="43">
        <f>'Car+SUV'!K119+'Van+Ute'!K119</f>
        <v>29769.993872619329</v>
      </c>
      <c r="L119" s="43">
        <f>'Car+SUV'!L119+'Van+Ute'!L119</f>
        <v>32340.463030828738</v>
      </c>
      <c r="M119" s="43">
        <f>'Car+SUV'!M119+'Van+Ute'!M119</f>
        <v>35004.969125460484</v>
      </c>
      <c r="N119" s="43">
        <f>'Car+SUV'!N119+'Van+Ute'!N119</f>
        <v>37820.629593453021</v>
      </c>
      <c r="O119" s="56">
        <f>'Car+SUV'!O119+'Van+Ute'!O119</f>
        <v>40740.309934566976</v>
      </c>
      <c r="P119" s="56">
        <f>'Car+SUV'!P119+'Van+Ute'!P119</f>
        <v>43523.608115022682</v>
      </c>
      <c r="Q119" s="57">
        <f>'Car+SUV'!Q119+'Van+Ute'!Q119</f>
        <v>46030.16120628822</v>
      </c>
    </row>
    <row r="120" spans="3:17" ht="15.5" x14ac:dyDescent="0.35">
      <c r="C120" s="24" t="s">
        <v>10</v>
      </c>
      <c r="D120" s="42">
        <f>'Car+SUV'!D120+'Van+Ute'!D120</f>
        <v>3805.4647967726301</v>
      </c>
      <c r="E120" s="43">
        <f>'Car+SUV'!E120+'Van+Ute'!E120</f>
        <v>3788.1541258820143</v>
      </c>
      <c r="F120" s="43">
        <f>'Car+SUV'!F120+'Van+Ute'!F120</f>
        <v>3804.8226160975723</v>
      </c>
      <c r="G120" s="43">
        <f>'Car+SUV'!G120+'Van+Ute'!G120</f>
        <v>3679.617115163288</v>
      </c>
      <c r="H120" s="43">
        <f>'Car+SUV'!H120+'Van+Ute'!H120</f>
        <v>3537.2419351992371</v>
      </c>
      <c r="I120" s="43">
        <f>'Car+SUV'!I120+'Van+Ute'!I120</f>
        <v>3784.6602843640567</v>
      </c>
      <c r="J120" s="43">
        <f>'Car+SUV'!J120+'Van+Ute'!J120</f>
        <v>4114.6160698567928</v>
      </c>
      <c r="K120" s="43">
        <f>'Car+SUV'!K120+'Van+Ute'!K120</f>
        <v>4392.5006674245615</v>
      </c>
      <c r="L120" s="43">
        <f>'Car+SUV'!L120+'Van+Ute'!L120</f>
        <v>4641.7187319138657</v>
      </c>
      <c r="M120" s="43">
        <f>'Car+SUV'!M120+'Van+Ute'!M120</f>
        <v>4889.7694257135181</v>
      </c>
      <c r="N120" s="43">
        <f>'Car+SUV'!N120+'Van+Ute'!N120</f>
        <v>5155.3069153691067</v>
      </c>
      <c r="O120" s="56">
        <f>'Car+SUV'!O120+'Van+Ute'!O120</f>
        <v>5418.7199962510167</v>
      </c>
      <c r="P120" s="56">
        <f>'Car+SUV'!P120+'Van+Ute'!P120</f>
        <v>5648.3731443210445</v>
      </c>
      <c r="Q120" s="57">
        <f>'Car+SUV'!Q120+'Van+Ute'!Q120</f>
        <v>5828.3626309888004</v>
      </c>
    </row>
    <row r="121" spans="3:17" ht="15.5" x14ac:dyDescent="0.35">
      <c r="C121" s="24" t="s">
        <v>11</v>
      </c>
      <c r="D121" s="42">
        <f>'Car+SUV'!D121+'Van+Ute'!D121</f>
        <v>74102.818335297285</v>
      </c>
      <c r="E121" s="43">
        <f>'Car+SUV'!E121+'Van+Ute'!E121</f>
        <v>79137.359798016201</v>
      </c>
      <c r="F121" s="43">
        <f>'Car+SUV'!F121+'Van+Ute'!F121</f>
        <v>83852.567362144371</v>
      </c>
      <c r="G121" s="43">
        <f>'Car+SUV'!G121+'Van+Ute'!G121</f>
        <v>87207.021728174164</v>
      </c>
      <c r="H121" s="43">
        <f>'Car+SUV'!H121+'Van+Ute'!H121</f>
        <v>91408.170365197817</v>
      </c>
      <c r="I121" s="43">
        <f>'Car+SUV'!I121+'Van+Ute'!I121</f>
        <v>94004.155339710152</v>
      </c>
      <c r="J121" s="43">
        <f>'Car+SUV'!J121+'Van+Ute'!J121</f>
        <v>110044.02084072775</v>
      </c>
      <c r="K121" s="43">
        <f>'Car+SUV'!K121+'Van+Ute'!K121</f>
        <v>124901.91506786701</v>
      </c>
      <c r="L121" s="43">
        <f>'Car+SUV'!L121+'Van+Ute'!L121</f>
        <v>140214.88313544227</v>
      </c>
      <c r="M121" s="43">
        <f>'Car+SUV'!M121+'Van+Ute'!M121</f>
        <v>156895.12935028793</v>
      </c>
      <c r="N121" s="43">
        <f>'Car+SUV'!N121+'Van+Ute'!N121</f>
        <v>175500.44922082068</v>
      </c>
      <c r="O121" s="56">
        <f>'Car+SUV'!O121+'Van+Ute'!O121</f>
        <v>195731.06827200053</v>
      </c>
      <c r="P121" s="56">
        <f>'Car+SUV'!P121+'Van+Ute'!P121</f>
        <v>216501.89102900028</v>
      </c>
      <c r="Q121" s="57">
        <f>'Car+SUV'!Q121+'Van+Ute'!Q121</f>
        <v>237080.19067420514</v>
      </c>
    </row>
    <row r="122" spans="3:17" ht="15.5" x14ac:dyDescent="0.35">
      <c r="C122" s="24" t="s">
        <v>12</v>
      </c>
      <c r="D122" s="42">
        <f>'Car+SUV'!D122+'Van+Ute'!D122</f>
        <v>21240.972503064324</v>
      </c>
      <c r="E122" s="43">
        <f>'Car+SUV'!E122+'Van+Ute'!E122</f>
        <v>22412.406098829058</v>
      </c>
      <c r="F122" s="43">
        <f>'Car+SUV'!F122+'Van+Ute'!F122</f>
        <v>23414.085802401067</v>
      </c>
      <c r="G122" s="43">
        <f>'Car+SUV'!G122+'Van+Ute'!G122</f>
        <v>25442.762945199407</v>
      </c>
      <c r="H122" s="43">
        <f>'Car+SUV'!H122+'Van+Ute'!H122</f>
        <v>28030.497380097462</v>
      </c>
      <c r="I122" s="43">
        <f>'Car+SUV'!I122+'Van+Ute'!I122</f>
        <v>43070.771069870199</v>
      </c>
      <c r="J122" s="43">
        <f>'Car+SUV'!J122+'Van+Ute'!J122</f>
        <v>50284.748140668766</v>
      </c>
      <c r="K122" s="43">
        <f>'Car+SUV'!K122+'Van+Ute'!K122</f>
        <v>56792.228326287797</v>
      </c>
      <c r="L122" s="43">
        <f>'Car+SUV'!L122+'Van+Ute'!L122</f>
        <v>63458.562991059996</v>
      </c>
      <c r="M122" s="43">
        <f>'Car+SUV'!M122+'Van+Ute'!M122</f>
        <v>70650.889810851688</v>
      </c>
      <c r="N122" s="43">
        <f>'Car+SUV'!N122+'Van+Ute'!N122</f>
        <v>78657.427346164783</v>
      </c>
      <c r="O122" s="56">
        <f>'Car+SUV'!O122+'Van+Ute'!O122</f>
        <v>87307.706601057464</v>
      </c>
      <c r="P122" s="56">
        <f>'Car+SUV'!P122+'Van+Ute'!P122</f>
        <v>96109.643781786202</v>
      </c>
      <c r="Q122" s="57">
        <f>'Car+SUV'!Q122+'Van+Ute'!Q122</f>
        <v>104736.29703211758</v>
      </c>
    </row>
    <row r="123" spans="3:17" ht="16" thickBot="1" x14ac:dyDescent="0.4">
      <c r="C123" s="25" t="s">
        <v>13</v>
      </c>
      <c r="D123" s="45">
        <f>'Car+SUV'!D123+'Van+Ute'!D123</f>
        <v>10192.374904309454</v>
      </c>
      <c r="E123" s="46">
        <f>'Car+SUV'!E123+'Van+Ute'!E123</f>
        <v>10677.973287525778</v>
      </c>
      <c r="F123" s="46">
        <f>'Car+SUV'!F123+'Van+Ute'!F123</f>
        <v>11078.245083688</v>
      </c>
      <c r="G123" s="46">
        <f>'Car+SUV'!G123+'Van+Ute'!G123</f>
        <v>11743.340868834341</v>
      </c>
      <c r="H123" s="46">
        <f>'Car+SUV'!H123+'Van+Ute'!H123</f>
        <v>12320.822038439757</v>
      </c>
      <c r="I123" s="46">
        <f>'Car+SUV'!I123+'Van+Ute'!I123</f>
        <v>12583.774249624888</v>
      </c>
      <c r="J123" s="46">
        <f>'Car+SUV'!J123+'Van+Ute'!J123</f>
        <v>13804.978639063474</v>
      </c>
      <c r="K123" s="46">
        <f>'Car+SUV'!K123+'Van+Ute'!K123</f>
        <v>14902.632748972057</v>
      </c>
      <c r="L123" s="46">
        <f>'Car+SUV'!L123+'Van+Ute'!L123</f>
        <v>15945.635147708457</v>
      </c>
      <c r="M123" s="46">
        <f>'Car+SUV'!M123+'Van+Ute'!M123</f>
        <v>17017.656284560246</v>
      </c>
      <c r="N123" s="46">
        <f>'Car+SUV'!N123+'Van+Ute'!N123</f>
        <v>18168.706039017536</v>
      </c>
      <c r="O123" s="59">
        <f>'Car+SUV'!O123+'Van+Ute'!O123</f>
        <v>19338.566955901028</v>
      </c>
      <c r="P123" s="59">
        <f>'Car+SUV'!P123+'Van+Ute'!P123</f>
        <v>20413.104717594731</v>
      </c>
      <c r="Q123" s="60">
        <f>'Car+SUV'!Q123+'Van+Ute'!Q123</f>
        <v>21329.97540516761</v>
      </c>
    </row>
    <row r="124" spans="3:17" ht="16.5" thickTop="1" thickBot="1" x14ac:dyDescent="0.4">
      <c r="C124" s="20" t="s">
        <v>24</v>
      </c>
      <c r="D124" s="48">
        <f t="shared" ref="D124:N124" si="70">SUM(D110:D123)</f>
        <v>451165</v>
      </c>
      <c r="E124" s="48">
        <f t="shared" si="70"/>
        <v>473120.99999999994</v>
      </c>
      <c r="F124" s="48">
        <f t="shared" si="70"/>
        <v>496505.99999999988</v>
      </c>
      <c r="G124" s="48">
        <f t="shared" ref="G124:H124" si="71">SUM(G110:G123)</f>
        <v>530678.99999999988</v>
      </c>
      <c r="H124" s="48">
        <f t="shared" si="71"/>
        <v>570719.00000000012</v>
      </c>
      <c r="I124" s="48">
        <f t="shared" si="70"/>
        <v>605735</v>
      </c>
      <c r="J124" s="48">
        <f t="shared" si="70"/>
        <v>699179.60241339018</v>
      </c>
      <c r="K124" s="48">
        <f t="shared" si="70"/>
        <v>785464.29167532839</v>
      </c>
      <c r="L124" s="48">
        <f t="shared" si="70"/>
        <v>873208.0585404631</v>
      </c>
      <c r="M124" s="48">
        <f t="shared" si="70"/>
        <v>967616.15235105995</v>
      </c>
      <c r="N124" s="48">
        <f t="shared" si="70"/>
        <v>1072118.8067927763</v>
      </c>
      <c r="O124" s="62">
        <f t="shared" ref="O124:Q124" si="72">SUM(O110:O123)</f>
        <v>1184660.3392715571</v>
      </c>
      <c r="P124" s="62">
        <f t="shared" si="72"/>
        <v>1298563.4362794959</v>
      </c>
      <c r="Q124" s="63">
        <f t="shared" si="72"/>
        <v>1409488.9882520072</v>
      </c>
    </row>
    <row r="125" spans="3:17" ht="16" thickTop="1" x14ac:dyDescent="0.35">
      <c r="C125" s="131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56"/>
      <c r="P125" s="56"/>
      <c r="Q125" s="56"/>
    </row>
    <row r="126" spans="3:17" ht="15.5" x14ac:dyDescent="0.35">
      <c r="C126" s="131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3:17" ht="13" thickBot="1" x14ac:dyDescent="0.3">
      <c r="N127" s="121"/>
    </row>
    <row r="128" spans="3:17" ht="16" thickTop="1" x14ac:dyDescent="0.35">
      <c r="C128" s="32" t="s">
        <v>120</v>
      </c>
      <c r="D128" s="33"/>
      <c r="E128" s="33"/>
      <c r="F128" s="33"/>
      <c r="G128" s="33"/>
      <c r="H128" s="33"/>
      <c r="I128" s="33"/>
      <c r="J128" s="34"/>
      <c r="K128" s="34"/>
      <c r="L128" s="34"/>
      <c r="M128" s="34"/>
      <c r="N128" s="34"/>
      <c r="O128" s="34"/>
      <c r="P128" s="34"/>
      <c r="Q128" s="35"/>
    </row>
    <row r="129" spans="3:17" ht="13.5" thickBot="1" x14ac:dyDescent="0.35">
      <c r="C129" s="36"/>
      <c r="D129" s="37" t="s">
        <v>25</v>
      </c>
      <c r="E129" s="37" t="s">
        <v>37</v>
      </c>
      <c r="F129" s="37" t="s">
        <v>38</v>
      </c>
      <c r="G129" s="37" t="s">
        <v>177</v>
      </c>
      <c r="H129" s="37" t="s">
        <v>178</v>
      </c>
      <c r="I129" s="37" t="s">
        <v>26</v>
      </c>
      <c r="J129" s="37" t="s">
        <v>27</v>
      </c>
      <c r="K129" s="37" t="s">
        <v>28</v>
      </c>
      <c r="L129" s="37" t="s">
        <v>29</v>
      </c>
      <c r="M129" s="37" t="s">
        <v>30</v>
      </c>
      <c r="N129" s="37" t="s">
        <v>31</v>
      </c>
      <c r="O129" s="37" t="s">
        <v>174</v>
      </c>
      <c r="P129" s="37" t="s">
        <v>175</v>
      </c>
      <c r="Q129" s="38" t="s">
        <v>176</v>
      </c>
    </row>
    <row r="130" spans="3:17" ht="14" thickTop="1" thickBot="1" x14ac:dyDescent="0.35">
      <c r="C130" s="70"/>
      <c r="D130" s="65" t="s">
        <v>39</v>
      </c>
      <c r="E130" s="65" t="s">
        <v>39</v>
      </c>
      <c r="F130" s="65" t="s">
        <v>39</v>
      </c>
      <c r="G130" s="65" t="s">
        <v>39</v>
      </c>
      <c r="H130" s="65" t="s">
        <v>39</v>
      </c>
      <c r="I130" s="65" t="s">
        <v>39</v>
      </c>
      <c r="J130" s="65" t="s">
        <v>32</v>
      </c>
      <c r="K130" s="65" t="s">
        <v>32</v>
      </c>
      <c r="L130" s="65" t="s">
        <v>32</v>
      </c>
      <c r="M130" s="65" t="s">
        <v>32</v>
      </c>
      <c r="N130" s="65" t="s">
        <v>32</v>
      </c>
      <c r="O130" s="65" t="s">
        <v>32</v>
      </c>
      <c r="P130" s="65" t="s">
        <v>32</v>
      </c>
      <c r="Q130" s="66" t="s">
        <v>32</v>
      </c>
    </row>
    <row r="131" spans="3:17" ht="16" thickTop="1" x14ac:dyDescent="0.35">
      <c r="C131" s="24" t="s">
        <v>0</v>
      </c>
      <c r="D131" s="52">
        <f>'Car+SUV'!D131+'Van+Ute'!D131</f>
        <v>6.5413548523906062</v>
      </c>
      <c r="E131" s="53">
        <f>'Car+SUV'!E131+'Van+Ute'!E131</f>
        <v>6.4149115115665962</v>
      </c>
      <c r="F131" s="53">
        <f>'Car+SUV'!F131+'Van+Ute'!F131</f>
        <v>6.0168613193954874</v>
      </c>
      <c r="G131" s="53">
        <f>'Car+SUV'!G131+'Van+Ute'!G131</f>
        <v>6.1676714010770182</v>
      </c>
      <c r="H131" s="53">
        <f>'Car+SUV'!H131+'Van+Ute'!H131</f>
        <v>6.7730966445768637</v>
      </c>
      <c r="I131" s="53">
        <f>'Car+SUV'!I131+'Van+Ute'!I131</f>
        <v>7.3196324443532061</v>
      </c>
      <c r="J131" s="53">
        <f ca="1">'Car+SUV'!J131+'Van+Ute'!J131</f>
        <v>8.594779746751037</v>
      </c>
      <c r="K131" s="53">
        <f ca="1">'Car+SUV'!K131+'Van+Ute'!K131</f>
        <v>180.04127445660725</v>
      </c>
      <c r="L131" s="53">
        <f ca="1">'Car+SUV'!L131+'Van+Ute'!L131</f>
        <v>363.72061739221255</v>
      </c>
      <c r="M131" s="53">
        <f ca="1">'Car+SUV'!M131+'Van+Ute'!M131</f>
        <v>553.56790458224123</v>
      </c>
      <c r="N131" s="53">
        <f ca="1">'Car+SUV'!N131+'Van+Ute'!N131</f>
        <v>747.5852638109651</v>
      </c>
      <c r="O131" s="156">
        <f ca="1">'Car+SUV'!O131+'Van+Ute'!O131</f>
        <v>945.59899442287599</v>
      </c>
      <c r="P131" s="156">
        <f ca="1">'Car+SUV'!P131+'Van+Ute'!P131</f>
        <v>1146.1178973819292</v>
      </c>
      <c r="Q131" s="157">
        <f ca="1">'Car+SUV'!Q131+'Van+Ute'!Q131</f>
        <v>1348.9647748764648</v>
      </c>
    </row>
    <row r="132" spans="3:17" ht="15.5" x14ac:dyDescent="0.35">
      <c r="C132" s="24" t="s">
        <v>1</v>
      </c>
      <c r="D132" s="55">
        <f>'Car+SUV'!D132+'Van+Ute'!D132</f>
        <v>149.7079998726262</v>
      </c>
      <c r="E132" s="56">
        <f>'Car+SUV'!E132+'Van+Ute'!E132</f>
        <v>151.54751326323859</v>
      </c>
      <c r="F132" s="56">
        <f>'Car+SUV'!F132+'Van+Ute'!F132</f>
        <v>154.66129755357139</v>
      </c>
      <c r="G132" s="56">
        <f>'Car+SUV'!G132+'Van+Ute'!G132</f>
        <v>167.49310410510358</v>
      </c>
      <c r="H132" s="56">
        <f>'Car+SUV'!H132+'Van+Ute'!H132</f>
        <v>194.37274767728201</v>
      </c>
      <c r="I132" s="56">
        <f>'Car+SUV'!I132+'Van+Ute'!I132</f>
        <v>271.4840203222787</v>
      </c>
      <c r="J132" s="56">
        <f ca="1">'Car+SUV'!J132+'Van+Ute'!J132</f>
        <v>324.39922827501346</v>
      </c>
      <c r="K132" s="56">
        <f ca="1">'Car+SUV'!K132+'Van+Ute'!K132</f>
        <v>1417.8379310549494</v>
      </c>
      <c r="L132" s="56">
        <f ca="1">'Car+SUV'!L132+'Van+Ute'!L132</f>
        <v>2613.7414865526425</v>
      </c>
      <c r="M132" s="56">
        <f ca="1">'Car+SUV'!M132+'Van+Ute'!M132</f>
        <v>3879.4315356823663</v>
      </c>
      <c r="N132" s="56">
        <f ca="1">'Car+SUV'!N132+'Van+Ute'!N132</f>
        <v>5212.1585709280807</v>
      </c>
      <c r="O132" s="159">
        <f ca="1">'Car+SUV'!O132+'Van+Ute'!O132</f>
        <v>6608.7628604039155</v>
      </c>
      <c r="P132" s="159">
        <f ca="1">'Car+SUV'!P132+'Van+Ute'!P132</f>
        <v>8061.8033523053246</v>
      </c>
      <c r="Q132" s="160">
        <f ca="1">'Car+SUV'!Q132+'Van+Ute'!Q132</f>
        <v>9568.2519352793915</v>
      </c>
    </row>
    <row r="133" spans="3:17" ht="15.5" x14ac:dyDescent="0.35">
      <c r="C133" s="24" t="s">
        <v>2</v>
      </c>
      <c r="D133" s="55">
        <f>'Car+SUV'!D133+'Van+Ute'!D133</f>
        <v>19.726320017137141</v>
      </c>
      <c r="E133" s="56">
        <f>'Car+SUV'!E133+'Van+Ute'!E133</f>
        <v>18.93825798398349</v>
      </c>
      <c r="F133" s="56">
        <f>'Car+SUV'!F133+'Van+Ute'!F133</f>
        <v>18.668688336735819</v>
      </c>
      <c r="G133" s="56">
        <f>'Car+SUV'!G133+'Van+Ute'!G133</f>
        <v>19.813570104644434</v>
      </c>
      <c r="H133" s="56">
        <f>'Car+SUV'!H133+'Van+Ute'!H133</f>
        <v>23.062008178111007</v>
      </c>
      <c r="I133" s="56">
        <f>'Car+SUV'!I133+'Van+Ute'!I133</f>
        <v>28.675035079114679</v>
      </c>
      <c r="J133" s="56">
        <f ca="1">'Car+SUV'!J133+'Van+Ute'!J133</f>
        <v>33.700343488242581</v>
      </c>
      <c r="K133" s="56">
        <f ca="1">'Car+SUV'!K133+'Van+Ute'!K133</f>
        <v>550.00945309005647</v>
      </c>
      <c r="L133" s="56">
        <f ca="1">'Car+SUV'!L133+'Van+Ute'!L133</f>
        <v>1105.8227194428896</v>
      </c>
      <c r="M133" s="56">
        <f ca="1">'Car+SUV'!M133+'Van+Ute'!M133</f>
        <v>1682.8364234884482</v>
      </c>
      <c r="N133" s="56">
        <f ca="1">'Car+SUV'!N133+'Van+Ute'!N133</f>
        <v>2276.9020016243026</v>
      </c>
      <c r="O133" s="159">
        <f ca="1">'Car+SUV'!O133+'Van+Ute'!O133</f>
        <v>2886.1023990750932</v>
      </c>
      <c r="P133" s="159">
        <f ca="1">'Car+SUV'!P133+'Van+Ute'!P133</f>
        <v>3504.8711510699973</v>
      </c>
      <c r="Q133" s="160">
        <f ca="1">'Car+SUV'!Q133+'Van+Ute'!Q133</f>
        <v>4131.8254931537476</v>
      </c>
    </row>
    <row r="134" spans="3:17" ht="15.5" x14ac:dyDescent="0.35">
      <c r="C134" s="24" t="s">
        <v>3</v>
      </c>
      <c r="D134" s="55">
        <f>'Car+SUV'!D134+'Van+Ute'!D134</f>
        <v>12.419145904805834</v>
      </c>
      <c r="E134" s="56">
        <f>'Car+SUV'!E134+'Van+Ute'!E134</f>
        <v>12.810241462696624</v>
      </c>
      <c r="F134" s="56">
        <f>'Car+SUV'!F134+'Van+Ute'!F134</f>
        <v>12.31656965132907</v>
      </c>
      <c r="G134" s="56">
        <f>'Car+SUV'!G134+'Van+Ute'!G134</f>
        <v>12.298551429051923</v>
      </c>
      <c r="H134" s="56">
        <f>'Car+SUV'!H134+'Van+Ute'!H134</f>
        <v>15.383018137646737</v>
      </c>
      <c r="I134" s="56">
        <f>'Car+SUV'!I134+'Van+Ute'!I134</f>
        <v>18.265311800395352</v>
      </c>
      <c r="J134" s="56">
        <f ca="1">'Car+SUV'!J134+'Van+Ute'!J134</f>
        <v>21.365206145279714</v>
      </c>
      <c r="K134" s="56">
        <f ca="1">'Car+SUV'!K134+'Van+Ute'!K134</f>
        <v>280.14532151485997</v>
      </c>
      <c r="L134" s="56">
        <f ca="1">'Car+SUV'!L134+'Van+Ute'!L134</f>
        <v>554.82998779039372</v>
      </c>
      <c r="M134" s="56">
        <f ca="1">'Car+SUV'!M134+'Van+Ute'!M134</f>
        <v>835.83649193582323</v>
      </c>
      <c r="N134" s="56">
        <f ca="1">'Car+SUV'!N134+'Van+Ute'!N134</f>
        <v>1121.2536326971672</v>
      </c>
      <c r="O134" s="159">
        <f ca="1">'Car+SUV'!O134+'Van+Ute'!O134</f>
        <v>1409.6518632009779</v>
      </c>
      <c r="P134" s="159">
        <f ca="1">'Car+SUV'!P134+'Van+Ute'!P134</f>
        <v>1698.3601338327637</v>
      </c>
      <c r="Q134" s="160">
        <f ca="1">'Car+SUV'!Q134+'Van+Ute'!Q134</f>
        <v>1986.6282162341915</v>
      </c>
    </row>
    <row r="135" spans="3:17" ht="15.5" x14ac:dyDescent="0.35">
      <c r="C135" s="24" t="s">
        <v>4</v>
      </c>
      <c r="D135" s="55">
        <f>'Car+SUV'!D135+'Van+Ute'!D135</f>
        <v>1.5051244334168628</v>
      </c>
      <c r="E135" s="56">
        <f>'Car+SUV'!E135+'Van+Ute'!E135</f>
        <v>1.5797550711867996</v>
      </c>
      <c r="F135" s="56">
        <f>'Car+SUV'!F135+'Van+Ute'!F135</f>
        <v>1.6671004200038464</v>
      </c>
      <c r="G135" s="56">
        <f>'Car+SUV'!G135+'Van+Ute'!G135</f>
        <v>1.7378406829006352</v>
      </c>
      <c r="H135" s="56">
        <f>'Car+SUV'!H135+'Van+Ute'!H135</f>
        <v>1.6516780103500022</v>
      </c>
      <c r="I135" s="56">
        <f>'Car+SUV'!I135+'Van+Ute'!I135</f>
        <v>1.7135197592455762</v>
      </c>
      <c r="J135" s="56">
        <f ca="1">'Car+SUV'!J135+'Van+Ute'!J135</f>
        <v>1.9713838715182113</v>
      </c>
      <c r="K135" s="56">
        <f ca="1">'Car+SUV'!K135+'Van+Ute'!K135</f>
        <v>33.536885541951655</v>
      </c>
      <c r="L135" s="56">
        <f ca="1">'Car+SUV'!L135+'Van+Ute'!L135</f>
        <v>65.803603614458581</v>
      </c>
      <c r="M135" s="56">
        <f ca="1">'Car+SUV'!M135+'Van+Ute'!M135</f>
        <v>97.493540958368939</v>
      </c>
      <c r="N135" s="56">
        <f ca="1">'Car+SUV'!N135+'Van+Ute'!N135</f>
        <v>128.48783591410765</v>
      </c>
      <c r="O135" s="159">
        <f ca="1">'Car+SUV'!O135+'Van+Ute'!O135</f>
        <v>158.73334800475942</v>
      </c>
      <c r="P135" s="159">
        <f ca="1">'Car+SUV'!P135+'Van+Ute'!P135</f>
        <v>187.87900686837622</v>
      </c>
      <c r="Q135" s="160">
        <f ca="1">'Car+SUV'!Q135+'Van+Ute'!Q135</f>
        <v>215.88674785732672</v>
      </c>
    </row>
    <row r="136" spans="3:17" ht="15.5" x14ac:dyDescent="0.35">
      <c r="C136" s="24" t="s">
        <v>5</v>
      </c>
      <c r="D136" s="55">
        <f>'Car+SUV'!D136+'Van+Ute'!D136</f>
        <v>7.4193801272618352</v>
      </c>
      <c r="E136" s="56">
        <f>'Car+SUV'!E136+'Van+Ute'!E136</f>
        <v>7.0836295008700763</v>
      </c>
      <c r="F136" s="56">
        <f>'Car+SUV'!F136+'Van+Ute'!F136</f>
        <v>7.3155068552864115</v>
      </c>
      <c r="G136" s="56">
        <f>'Car+SUV'!G136+'Van+Ute'!G136</f>
        <v>7.9336243158661244</v>
      </c>
      <c r="H136" s="56">
        <f>'Car+SUV'!H136+'Van+Ute'!H136</f>
        <v>8.797973487189152</v>
      </c>
      <c r="I136" s="56">
        <f>'Car+SUV'!I136+'Van+Ute'!I136</f>
        <v>9.9408887890426545</v>
      </c>
      <c r="J136" s="56">
        <f ca="1">'Car+SUV'!J136+'Van+Ute'!J136</f>
        <v>11.616782966579347</v>
      </c>
      <c r="K136" s="56">
        <f ca="1">'Car+SUV'!K136+'Van+Ute'!K136</f>
        <v>144.84097239399387</v>
      </c>
      <c r="L136" s="56">
        <f ca="1">'Car+SUV'!L136+'Van+Ute'!L136</f>
        <v>286.2781453468906</v>
      </c>
      <c r="M136" s="56">
        <f ca="1">'Car+SUV'!M136+'Van+Ute'!M136</f>
        <v>431.38824021883556</v>
      </c>
      <c r="N136" s="56">
        <f ca="1">'Car+SUV'!N136+'Van+Ute'!N136</f>
        <v>579.69318188424461</v>
      </c>
      <c r="O136" s="159">
        <f ca="1">'Car+SUV'!O136+'Van+Ute'!O136</f>
        <v>730.92228914960219</v>
      </c>
      <c r="P136" s="159">
        <f ca="1">'Car+SUV'!P136+'Van+Ute'!P136</f>
        <v>883.91664498172929</v>
      </c>
      <c r="Q136" s="160">
        <f ca="1">'Car+SUV'!Q136+'Van+Ute'!Q136</f>
        <v>1038.640454023398</v>
      </c>
    </row>
    <row r="137" spans="3:17" ht="15.5" x14ac:dyDescent="0.35">
      <c r="C137" s="24" t="s">
        <v>6</v>
      </c>
      <c r="D137" s="55">
        <f>'Car+SUV'!D137+'Van+Ute'!D137</f>
        <v>3.6546609764641698</v>
      </c>
      <c r="E137" s="56">
        <f>'Car+SUV'!E137+'Van+Ute'!E137</f>
        <v>4.0152869893301322</v>
      </c>
      <c r="F137" s="56">
        <f>'Car+SUV'!F137+'Van+Ute'!F137</f>
        <v>3.8805945840095828</v>
      </c>
      <c r="G137" s="56">
        <f>'Car+SUV'!G137+'Van+Ute'!G137</f>
        <v>4.0135190326425114</v>
      </c>
      <c r="H137" s="56">
        <f>'Car+SUV'!H137+'Van+Ute'!H137</f>
        <v>4.4762639587486017</v>
      </c>
      <c r="I137" s="56">
        <f>'Car+SUV'!I137+'Van+Ute'!I137</f>
        <v>4.6835825932380661</v>
      </c>
      <c r="J137" s="56">
        <f ca="1">'Car+SUV'!J137+'Van+Ute'!J137</f>
        <v>5.5074509266186027</v>
      </c>
      <c r="K137" s="56">
        <f ca="1">'Car+SUV'!K137+'Van+Ute'!K137</f>
        <v>103.62859091079838</v>
      </c>
      <c r="L137" s="56">
        <f ca="1">'Car+SUV'!L137+'Van+Ute'!L137</f>
        <v>209.56106450089047</v>
      </c>
      <c r="M137" s="56">
        <f ca="1">'Car+SUV'!M137+'Van+Ute'!M137</f>
        <v>320.17353296788485</v>
      </c>
      <c r="N137" s="56">
        <f ca="1">'Car+SUV'!N137+'Van+Ute'!N137</f>
        <v>435.08333799119498</v>
      </c>
      <c r="O137" s="159">
        <f ca="1">'Car+SUV'!O137+'Van+Ute'!O137</f>
        <v>554.02231099800758</v>
      </c>
      <c r="P137" s="159">
        <f ca="1">'Car+SUV'!P137+'Van+Ute'!P137</f>
        <v>676.11429453384892</v>
      </c>
      <c r="Q137" s="160">
        <f ca="1">'Car+SUV'!Q137+'Van+Ute'!Q137</f>
        <v>801.30713957120508</v>
      </c>
    </row>
    <row r="138" spans="3:17" ht="15.5" x14ac:dyDescent="0.35">
      <c r="C138" s="24" t="s">
        <v>7</v>
      </c>
      <c r="D138" s="55">
        <f>'Car+SUV'!D138+'Van+Ute'!D138</f>
        <v>8.4513062826249854</v>
      </c>
      <c r="E138" s="56">
        <f>'Car+SUV'!E138+'Van+Ute'!E138</f>
        <v>8.3762390811818594</v>
      </c>
      <c r="F138" s="56">
        <f>'Car+SUV'!F138+'Van+Ute'!F138</f>
        <v>7.9104812621417269</v>
      </c>
      <c r="G138" s="56">
        <f>'Car+SUV'!G138+'Van+Ute'!G138</f>
        <v>8.2306604027396961</v>
      </c>
      <c r="H138" s="56">
        <f>'Car+SUV'!H138+'Van+Ute'!H138</f>
        <v>9.9750803905591567</v>
      </c>
      <c r="I138" s="56">
        <f>'Car+SUV'!I138+'Van+Ute'!I138</f>
        <v>10.381486935906931</v>
      </c>
      <c r="J138" s="56">
        <f ca="1">'Car+SUV'!J138+'Van+Ute'!J138</f>
        <v>12.023688955417393</v>
      </c>
      <c r="K138" s="56">
        <f ca="1">'Car+SUV'!K138+'Van+Ute'!K138</f>
        <v>218.68031359824138</v>
      </c>
      <c r="L138" s="56">
        <f ca="1">'Car+SUV'!L138+'Van+Ute'!L138</f>
        <v>433.92441268749485</v>
      </c>
      <c r="M138" s="56">
        <f ca="1">'Car+SUV'!M138+'Van+Ute'!M138</f>
        <v>650.43693444750386</v>
      </c>
      <c r="N138" s="56">
        <f ca="1">'Car+SUV'!N138+'Van+Ute'!N138</f>
        <v>866.29529991202946</v>
      </c>
      <c r="O138" s="159">
        <f ca="1">'Car+SUV'!O138+'Van+Ute'!O138</f>
        <v>1081.6842998656746</v>
      </c>
      <c r="P138" s="159">
        <f ca="1">'Car+SUV'!P138+'Van+Ute'!P138</f>
        <v>1294.6188662967802</v>
      </c>
      <c r="Q138" s="160">
        <f ca="1">'Car+SUV'!Q138+'Van+Ute'!Q138</f>
        <v>1505.0290369558722</v>
      </c>
    </row>
    <row r="139" spans="3:17" ht="15.5" x14ac:dyDescent="0.35">
      <c r="C139" s="24" t="s">
        <v>8</v>
      </c>
      <c r="D139" s="55">
        <f>'Car+SUV'!D139+'Van+Ute'!D139</f>
        <v>52.140903702157445</v>
      </c>
      <c r="E139" s="56">
        <f>'Car+SUV'!E139+'Van+Ute'!E139</f>
        <v>53.103339295918971</v>
      </c>
      <c r="F139" s="56">
        <f>'Car+SUV'!F139+'Van+Ute'!F139</f>
        <v>55.701697796507247</v>
      </c>
      <c r="G139" s="56">
        <f>'Car+SUV'!G139+'Van+Ute'!G139</f>
        <v>55.43581061642324</v>
      </c>
      <c r="H139" s="56">
        <f>'Car+SUV'!H139+'Van+Ute'!H139</f>
        <v>56.73744842306477</v>
      </c>
      <c r="I139" s="56">
        <f>'Car+SUV'!I139+'Van+Ute'!I139</f>
        <v>80.034847751200758</v>
      </c>
      <c r="J139" s="56">
        <f ca="1">'Car+SUV'!J139+'Van+Ute'!J139</f>
        <v>94.371022461151938</v>
      </c>
      <c r="K139" s="56">
        <f ca="1">'Car+SUV'!K139+'Van+Ute'!K139</f>
        <v>419.57957751647581</v>
      </c>
      <c r="L139" s="56">
        <f ca="1">'Car+SUV'!L139+'Van+Ute'!L139</f>
        <v>770.14924964166346</v>
      </c>
      <c r="M139" s="56">
        <f ca="1">'Car+SUV'!M139+'Van+Ute'!M139</f>
        <v>1135.7978457533488</v>
      </c>
      <c r="N139" s="56">
        <f ca="1">'Car+SUV'!N139+'Van+Ute'!N139</f>
        <v>1514.9754861672359</v>
      </c>
      <c r="O139" s="159">
        <f ca="1">'Car+SUV'!O139+'Van+Ute'!O139</f>
        <v>1906.6200885501587</v>
      </c>
      <c r="P139" s="159">
        <f ca="1">'Car+SUV'!P139+'Van+Ute'!P139</f>
        <v>2308.3989429437042</v>
      </c>
      <c r="Q139" s="160">
        <f ca="1">'Car+SUV'!Q139+'Van+Ute'!Q139</f>
        <v>2719.9453617373906</v>
      </c>
    </row>
    <row r="140" spans="3:17" ht="15.5" x14ac:dyDescent="0.35">
      <c r="C140" s="24" t="s">
        <v>9</v>
      </c>
      <c r="D140" s="55">
        <f>'Car+SUV'!D140+'Van+Ute'!D140</f>
        <v>6.528808193156574</v>
      </c>
      <c r="E140" s="56">
        <f>'Car+SUV'!E140+'Van+Ute'!E140</f>
        <v>6.1299109650178671</v>
      </c>
      <c r="F140" s="56">
        <f>'Car+SUV'!F140+'Van+Ute'!F140</f>
        <v>5.3124141689692745</v>
      </c>
      <c r="G140" s="56">
        <f>'Car+SUV'!G140+'Van+Ute'!G140</f>
        <v>6.0764115356973045</v>
      </c>
      <c r="H140" s="56">
        <f>'Car+SUV'!H140+'Van+Ute'!H140</f>
        <v>7.2716815161886537</v>
      </c>
      <c r="I140" s="56">
        <f>'Car+SUV'!I140+'Van+Ute'!I140</f>
        <v>7.8720347110029332</v>
      </c>
      <c r="J140" s="56">
        <f ca="1">'Car+SUV'!J140+'Van+Ute'!J140</f>
        <v>9.1116682652377055</v>
      </c>
      <c r="K140" s="56">
        <f ca="1">'Car+SUV'!K140+'Van+Ute'!K140</f>
        <v>128.45548182827511</v>
      </c>
      <c r="L140" s="56">
        <f ca="1">'Car+SUV'!L140+'Van+Ute'!L140</f>
        <v>252.70788133258861</v>
      </c>
      <c r="M140" s="56">
        <f ca="1">'Car+SUV'!M140+'Van+Ute'!M140</f>
        <v>377.4271935386684</v>
      </c>
      <c r="N140" s="56">
        <f ca="1">'Car+SUV'!N140+'Van+Ute'!N140</f>
        <v>500.90960974983551</v>
      </c>
      <c r="O140" s="159">
        <f ca="1">'Car+SUV'!O140+'Van+Ute'!O140</f>
        <v>623.28677903512028</v>
      </c>
      <c r="P140" s="159">
        <f ca="1">'Car+SUV'!P140+'Van+Ute'!P140</f>
        <v>743.27393430245729</v>
      </c>
      <c r="Q140" s="160">
        <f ca="1">'Car+SUV'!Q140+'Van+Ute'!Q140</f>
        <v>860.65483506601811</v>
      </c>
    </row>
    <row r="141" spans="3:17" ht="15.5" x14ac:dyDescent="0.35">
      <c r="C141" s="24" t="s">
        <v>10</v>
      </c>
      <c r="D141" s="55">
        <f>'Car+SUV'!D141+'Van+Ute'!D141</f>
        <v>2.412478741886801</v>
      </c>
      <c r="E141" s="56">
        <f>'Car+SUV'!E141+'Van+Ute'!E141</f>
        <v>2.498923432881885</v>
      </c>
      <c r="F141" s="56">
        <f>'Car+SUV'!F141+'Van+Ute'!F141</f>
        <v>2.7634362197977955</v>
      </c>
      <c r="G141" s="56">
        <f>'Car+SUV'!G141+'Van+Ute'!G141</f>
        <v>2.9562881243462469</v>
      </c>
      <c r="H141" s="56">
        <f>'Car+SUV'!H141+'Van+Ute'!H141</f>
        <v>3.0382653829690138</v>
      </c>
      <c r="I141" s="56">
        <f>'Car+SUV'!I141+'Van+Ute'!I141</f>
        <v>3.5537439469062342</v>
      </c>
      <c r="J141" s="56">
        <f ca="1">'Car+SUV'!J141+'Van+Ute'!J141</f>
        <v>4.0383720952056397</v>
      </c>
      <c r="K141" s="56">
        <f ca="1">'Car+SUV'!K141+'Van+Ute'!K141</f>
        <v>46.938558708080954</v>
      </c>
      <c r="L141" s="56">
        <f ca="1">'Car+SUV'!L141+'Van+Ute'!L141</f>
        <v>89.242172460844117</v>
      </c>
      <c r="M141" s="56">
        <f ca="1">'Car+SUV'!M141+'Van+Ute'!M141</f>
        <v>129.46491950252869</v>
      </c>
      <c r="N141" s="56">
        <f ca="1">'Car+SUV'!N141+'Van+Ute'!N141</f>
        <v>167.54177995856833</v>
      </c>
      <c r="O141" s="159">
        <f ca="1">'Car+SUV'!O141+'Van+Ute'!O141</f>
        <v>203.32984454067008</v>
      </c>
      <c r="P141" s="159">
        <f ca="1">'Car+SUV'!P141+'Van+Ute'!P141</f>
        <v>236.55863950472741</v>
      </c>
      <c r="Q141" s="160">
        <f ca="1">'Car+SUV'!Q141+'Van+Ute'!Q141</f>
        <v>267.28573450320067</v>
      </c>
    </row>
    <row r="142" spans="3:17" ht="15.5" x14ac:dyDescent="0.35">
      <c r="C142" s="24" t="s">
        <v>11</v>
      </c>
      <c r="D142" s="55">
        <f>'Car+SUV'!D142+'Van+Ute'!D142</f>
        <v>33.129848971021801</v>
      </c>
      <c r="E142" s="56">
        <f>'Car+SUV'!E142+'Van+Ute'!E142</f>
        <v>33.88354099478758</v>
      </c>
      <c r="F142" s="56">
        <f>'Car+SUV'!F142+'Van+Ute'!F142</f>
        <v>34.247171192026137</v>
      </c>
      <c r="G142" s="56">
        <f>'Car+SUV'!G142+'Van+Ute'!G142</f>
        <v>35.747646938301401</v>
      </c>
      <c r="H142" s="56">
        <f>'Car+SUV'!H142+'Van+Ute'!H142</f>
        <v>39.675054951839705</v>
      </c>
      <c r="I142" s="56">
        <f>'Car+SUV'!I142+'Van+Ute'!I142</f>
        <v>58.752468940263803</v>
      </c>
      <c r="J142" s="56">
        <f ca="1">'Car+SUV'!J142+'Van+Ute'!J142</f>
        <v>70.078786164044288</v>
      </c>
      <c r="K142" s="56">
        <f ca="1">'Car+SUV'!K142+'Van+Ute'!K142</f>
        <v>586.42059809386456</v>
      </c>
      <c r="L142" s="56">
        <f ca="1">'Car+SUV'!L142+'Van+Ute'!L142</f>
        <v>1157.5948361475043</v>
      </c>
      <c r="M142" s="56">
        <f ca="1">'Car+SUV'!M142+'Van+Ute'!M142</f>
        <v>1767.7651569574291</v>
      </c>
      <c r="N142" s="56">
        <f ca="1">'Car+SUV'!N142+'Van+Ute'!N142</f>
        <v>2414.3858225592626</v>
      </c>
      <c r="O142" s="159">
        <f ca="1">'Car+SUV'!O142+'Van+Ute'!O142</f>
        <v>3099.8017238279199</v>
      </c>
      <c r="P142" s="159">
        <f ca="1">'Car+SUV'!P142+'Van+Ute'!P142</f>
        <v>3818.5030590097376</v>
      </c>
      <c r="Q142" s="160">
        <f ca="1">'Car+SUV'!Q142+'Van+Ute'!Q142</f>
        <v>4570.4218581439727</v>
      </c>
    </row>
    <row r="143" spans="3:17" ht="15.5" x14ac:dyDescent="0.35">
      <c r="C143" s="24" t="s">
        <v>12</v>
      </c>
      <c r="D143" s="55">
        <f>'Car+SUV'!D143+'Van+Ute'!D143</f>
        <v>26.651595201362031</v>
      </c>
      <c r="E143" s="56">
        <f>'Car+SUV'!E143+'Van+Ute'!E143</f>
        <v>27.529478937087354</v>
      </c>
      <c r="F143" s="56">
        <f>'Car+SUV'!F143+'Van+Ute'!F143</f>
        <v>28.098285466554461</v>
      </c>
      <c r="G143" s="56">
        <f>'Car+SUV'!G143+'Van+Ute'!G143</f>
        <v>28.340787596974376</v>
      </c>
      <c r="H143" s="56">
        <f>'Car+SUV'!H143+'Van+Ute'!H143</f>
        <v>31.814072003778353</v>
      </c>
      <c r="I143" s="56">
        <f>'Car+SUV'!I143+'Van+Ute'!I143</f>
        <v>25.487534500636016</v>
      </c>
      <c r="J143" s="56">
        <f ca="1">'Car+SUV'!J143+'Van+Ute'!J143</f>
        <v>30.377409783519678</v>
      </c>
      <c r="K143" s="56">
        <f ca="1">'Car+SUV'!K143+'Van+Ute'!K143</f>
        <v>248.57217339487494</v>
      </c>
      <c r="L143" s="56">
        <f ca="1">'Car+SUV'!L143+'Van+Ute'!L143</f>
        <v>488.05911177847554</v>
      </c>
      <c r="M143" s="56">
        <f ca="1">'Car+SUV'!M143+'Van+Ute'!M143</f>
        <v>741.67565958186651</v>
      </c>
      <c r="N143" s="56">
        <f ca="1">'Car+SUV'!N143+'Van+Ute'!N143</f>
        <v>1008.6166110102899</v>
      </c>
      <c r="O143" s="159">
        <f ca="1">'Car+SUV'!O143+'Van+Ute'!O143</f>
        <v>1288.6535183682645</v>
      </c>
      <c r="P143" s="159">
        <f ca="1">'Car+SUV'!P143+'Van+Ute'!P143</f>
        <v>1579.7429485251678</v>
      </c>
      <c r="Q143" s="160">
        <f ca="1">'Car+SUV'!Q143+'Van+Ute'!Q143</f>
        <v>1881.6642066391216</v>
      </c>
    </row>
    <row r="144" spans="3:17" ht="16" thickBot="1" x14ac:dyDescent="0.4">
      <c r="C144" s="25" t="s">
        <v>13</v>
      </c>
      <c r="D144" s="58">
        <f>'Car+SUV'!D144+'Van+Ute'!D144</f>
        <v>4.5660286863306094</v>
      </c>
      <c r="E144" s="59">
        <f>'Car+SUV'!E144+'Van+Ute'!E144</f>
        <v>4.5612328450495205</v>
      </c>
      <c r="F144" s="59">
        <f>'Car+SUV'!F144+'Van+Ute'!F144</f>
        <v>4.2761703745822377</v>
      </c>
      <c r="G144" s="59">
        <f>'Car+SUV'!G144+'Van+Ute'!G144</f>
        <v>4.9733064225868633</v>
      </c>
      <c r="H144" s="59">
        <f>'Car+SUV'!H144+'Van+Ute'!H144</f>
        <v>5.3524018043906008</v>
      </c>
      <c r="I144" s="59">
        <f>'Car+SUV'!I144+'Van+Ute'!I144</f>
        <v>5.6105934980605419</v>
      </c>
      <c r="J144" s="59">
        <f ca="1">'Car+SUV'!J144+'Van+Ute'!J144</f>
        <v>6.4080982836630591</v>
      </c>
      <c r="K144" s="59">
        <f ca="1">'Car+SUV'!K144+'Van+Ute'!K144</f>
        <v>100.2645449403043</v>
      </c>
      <c r="L144" s="59">
        <f ca="1">'Car+SUV'!L144+'Van+Ute'!L144</f>
        <v>195.14436520463312</v>
      </c>
      <c r="M144" s="59">
        <f ca="1">'Car+SUV'!M144+'Van+Ute'!M144</f>
        <v>287.83564146897106</v>
      </c>
      <c r="N144" s="59">
        <f ca="1">'Car+SUV'!N144+'Van+Ute'!N144</f>
        <v>377.79994570683141</v>
      </c>
      <c r="O144" s="162">
        <f ca="1">'Car+SUV'!O144+'Van+Ute'!O144</f>
        <v>464.74987470581766</v>
      </c>
      <c r="P144" s="162">
        <f ca="1">'Car+SUV'!P144+'Van+Ute'!P144</f>
        <v>547.80309126193731</v>
      </c>
      <c r="Q144" s="163">
        <f ca="1">'Car+SUV'!Q144+'Van+Ute'!Q144</f>
        <v>626.89530693786139</v>
      </c>
    </row>
    <row r="145" spans="3:17" ht="16.5" thickTop="1" thickBot="1" x14ac:dyDescent="0.4">
      <c r="C145" s="31" t="s">
        <v>24</v>
      </c>
      <c r="D145" s="61">
        <f t="shared" ref="D145:N145" si="73">SUM(D131:D144)</f>
        <v>334.85495596264286</v>
      </c>
      <c r="E145" s="62">
        <f t="shared" si="73"/>
        <v>338.47226133479728</v>
      </c>
      <c r="F145" s="62">
        <f t="shared" si="73"/>
        <v>342.83627520091039</v>
      </c>
      <c r="G145" s="62">
        <f t="shared" si="73"/>
        <v>361.21879270835541</v>
      </c>
      <c r="H145" s="62">
        <f t="shared" si="73"/>
        <v>408.3807905666946</v>
      </c>
      <c r="I145" s="62">
        <f t="shared" si="73"/>
        <v>533.77470107164538</v>
      </c>
      <c r="J145" s="62">
        <f t="shared" ca="1" si="73"/>
        <v>633.56422142824272</v>
      </c>
      <c r="K145" s="62">
        <f t="shared" ca="1" si="73"/>
        <v>4458.9516770433338</v>
      </c>
      <c r="L145" s="62">
        <f t="shared" ca="1" si="73"/>
        <v>8586.5796538935811</v>
      </c>
      <c r="M145" s="62">
        <f t="shared" ca="1" si="73"/>
        <v>12891.131021084284</v>
      </c>
      <c r="N145" s="62">
        <f t="shared" ca="1" si="73"/>
        <v>17351.688379914118</v>
      </c>
      <c r="O145" s="125">
        <f t="shared" ref="O145:Q145" ca="1" si="74">SUM(O131:O144)</f>
        <v>21961.920194148854</v>
      </c>
      <c r="P145" s="125">
        <f t="shared" ca="1" si="74"/>
        <v>26687.961962818485</v>
      </c>
      <c r="Q145" s="126">
        <f t="shared" ca="1" si="74"/>
        <v>31523.401100979165</v>
      </c>
    </row>
    <row r="146" spans="3:17" ht="13" thickTop="1" x14ac:dyDescent="0.25">
      <c r="N146" s="121"/>
    </row>
    <row r="147" spans="3:17" ht="13" thickBot="1" x14ac:dyDescent="0.3">
      <c r="N147" s="121"/>
    </row>
    <row r="148" spans="3:17" ht="16" thickTop="1" x14ac:dyDescent="0.35">
      <c r="C148" s="32" t="s">
        <v>119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</row>
    <row r="149" spans="3:17" ht="13.5" thickBot="1" x14ac:dyDescent="0.35">
      <c r="C149" s="18"/>
      <c r="D149" s="65" t="s">
        <v>25</v>
      </c>
      <c r="E149" s="65" t="s">
        <v>37</v>
      </c>
      <c r="F149" s="65" t="s">
        <v>38</v>
      </c>
      <c r="G149" s="37" t="s">
        <v>177</v>
      </c>
      <c r="H149" s="37" t="s">
        <v>178</v>
      </c>
      <c r="I149" s="65" t="s">
        <v>26</v>
      </c>
      <c r="J149" s="65" t="s">
        <v>27</v>
      </c>
      <c r="K149" s="65" t="s">
        <v>28</v>
      </c>
      <c r="L149" s="65" t="s">
        <v>29</v>
      </c>
      <c r="M149" s="65" t="s">
        <v>30</v>
      </c>
      <c r="N149" s="65" t="s">
        <v>31</v>
      </c>
      <c r="O149" s="37" t="s">
        <v>174</v>
      </c>
      <c r="P149" s="37" t="s">
        <v>175</v>
      </c>
      <c r="Q149" s="38" t="s">
        <v>176</v>
      </c>
    </row>
    <row r="150" spans="3:17" ht="14" thickTop="1" thickBot="1" x14ac:dyDescent="0.35">
      <c r="C150" s="70"/>
      <c r="D150" s="71" t="s">
        <v>39</v>
      </c>
      <c r="E150" s="71" t="s">
        <v>39</v>
      </c>
      <c r="F150" s="71" t="s">
        <v>39</v>
      </c>
      <c r="G150" s="71" t="s">
        <v>39</v>
      </c>
      <c r="H150" s="71" t="s">
        <v>39</v>
      </c>
      <c r="I150" s="71" t="s">
        <v>39</v>
      </c>
      <c r="J150" s="71" t="s">
        <v>32</v>
      </c>
      <c r="K150" s="71" t="s">
        <v>32</v>
      </c>
      <c r="L150" s="71" t="s">
        <v>32</v>
      </c>
      <c r="M150" s="71" t="s">
        <v>32</v>
      </c>
      <c r="N150" s="71" t="s">
        <v>32</v>
      </c>
      <c r="O150" s="65" t="s">
        <v>32</v>
      </c>
      <c r="P150" s="65" t="s">
        <v>32</v>
      </c>
      <c r="Q150" s="66" t="s">
        <v>32</v>
      </c>
    </row>
    <row r="151" spans="3:17" ht="16" thickTop="1" x14ac:dyDescent="0.35">
      <c r="C151" s="24" t="s">
        <v>0</v>
      </c>
      <c r="D151" s="42">
        <f>'Car+SUV'!D151+'Van+Ute'!D151</f>
        <v>202.03149404685701</v>
      </c>
      <c r="E151" s="43">
        <f>'Car+SUV'!E151+'Van+Ute'!E151</f>
        <v>222.03603830645162</v>
      </c>
      <c r="F151" s="43">
        <f>'Car+SUV'!F151+'Van+Ute'!F151</f>
        <v>217.03322337417532</v>
      </c>
      <c r="G151" s="43">
        <f>'Car+SUV'!G151+'Van+Ute'!G151</f>
        <v>231.03042287800423</v>
      </c>
      <c r="H151" s="43">
        <f>'Car+SUV'!H151+'Van+Ute'!H151</f>
        <v>226.02628527251642</v>
      </c>
      <c r="I151" s="43">
        <f>'Car+SUV'!I151+'Van+Ute'!I151</f>
        <v>240.01854714064913</v>
      </c>
      <c r="J151" s="43">
        <f ca="1">'Car+SUV'!J151+'Van+Ute'!J151</f>
        <v>281.83198589438837</v>
      </c>
      <c r="K151" s="43">
        <f ca="1">'Car+SUV'!K151+'Van+Ute'!K151</f>
        <v>5716.251044242299</v>
      </c>
      <c r="L151" s="43">
        <f ca="1">'Car+SUV'!L151+'Van+Ute'!L151</f>
        <v>11538.289087425854</v>
      </c>
      <c r="M151" s="43">
        <f ca="1">'Car+SUV'!M151+'Van+Ute'!M151</f>
        <v>17555.800140960899</v>
      </c>
      <c r="N151" s="43">
        <f ca="1">'Car+SUV'!N151+'Van+Ute'!N151</f>
        <v>23705.576573826937</v>
      </c>
      <c r="O151" s="53">
        <f ca="1">'Car+SUV'!O151+'Van+Ute'!O151</f>
        <v>29981.923271419437</v>
      </c>
      <c r="P151" s="53">
        <f ca="1">'Car+SUV'!P151+'Van+Ute'!P151</f>
        <v>36337.791633197136</v>
      </c>
      <c r="Q151" s="54">
        <f ca="1">'Car+SUV'!Q151+'Van+Ute'!Q151</f>
        <v>42767.584912728635</v>
      </c>
    </row>
    <row r="152" spans="3:17" ht="15.5" x14ac:dyDescent="0.35">
      <c r="C152" s="24" t="s">
        <v>1</v>
      </c>
      <c r="D152" s="42">
        <f>'Car+SUV'!D152+'Van+Ute'!D152</f>
        <v>4253.9189604404046</v>
      </c>
      <c r="E152" s="43">
        <f>'Car+SUV'!E152+'Van+Ute'!E152</f>
        <v>4364.9314516129034</v>
      </c>
      <c r="F152" s="43">
        <f>'Car+SUV'!F152+'Van+Ute'!F152</f>
        <v>4844.9719604147031</v>
      </c>
      <c r="G152" s="43">
        <f>'Car+SUV'!G152+'Van+Ute'!G152</f>
        <v>5910.0481695568396</v>
      </c>
      <c r="H152" s="43">
        <f>'Car+SUV'!H152+'Van+Ute'!H152</f>
        <v>6119.0324700425199</v>
      </c>
      <c r="I152" s="43">
        <f>'Car+SUV'!I152+'Van+Ute'!I152</f>
        <v>9571.0764760432758</v>
      </c>
      <c r="J152" s="43">
        <f ca="1">'Car+SUV'!J152+'Van+Ute'!J152</f>
        <v>11436.584071886833</v>
      </c>
      <c r="K152" s="43">
        <f ca="1">'Car+SUV'!K152+'Van+Ute'!K152</f>
        <v>49972.580017444823</v>
      </c>
      <c r="L152" s="43">
        <f ca="1">'Car+SUV'!L152+'Van+Ute'!L152</f>
        <v>92119.671815094989</v>
      </c>
      <c r="M152" s="43">
        <f ca="1">'Car+SUV'!M152+'Van+Ute'!M152</f>
        <v>136726.22199041783</v>
      </c>
      <c r="N152" s="43">
        <f ca="1">'Car+SUV'!N152+'Van+Ute'!N152</f>
        <v>183695.3793276306</v>
      </c>
      <c r="O152" s="56">
        <f ca="1">'Car+SUV'!O152+'Van+Ute'!O152</f>
        <v>232915.69769907824</v>
      </c>
      <c r="P152" s="56">
        <f ca="1">'Car+SUV'!P152+'Van+Ute'!P152</f>
        <v>284125.02701119427</v>
      </c>
      <c r="Q152" s="57">
        <f ca="1">'Car+SUV'!Q152+'Van+Ute'!Q152</f>
        <v>337216.65772268223</v>
      </c>
    </row>
    <row r="153" spans="3:17" ht="15.5" x14ac:dyDescent="0.35">
      <c r="C153" s="24" t="s">
        <v>2</v>
      </c>
      <c r="D153" s="42">
        <f>'Car+SUV'!D153+'Van+Ute'!D153</f>
        <v>553.0875688132121</v>
      </c>
      <c r="E153" s="43">
        <f>'Car+SUV'!E153+'Van+Ute'!E153</f>
        <v>527.08291330645159</v>
      </c>
      <c r="F153" s="43">
        <f>'Car+SUV'!F153+'Van+Ute'!F153</f>
        <v>541.07775683317618</v>
      </c>
      <c r="G153" s="43">
        <f>'Car+SUV'!G153+'Van+Ute'!G153</f>
        <v>579.07301490721011</v>
      </c>
      <c r="H153" s="43">
        <f>'Car+SUV'!H153+'Van+Ute'!H153</f>
        <v>690.08272129880174</v>
      </c>
      <c r="I153" s="43">
        <f>'Car+SUV'!I153+'Van+Ute'!I153</f>
        <v>869.07690880989173</v>
      </c>
      <c r="J153" s="43">
        <f ca="1">'Car+SUV'!J153+'Van+Ute'!J153</f>
        <v>1021.3828950439656</v>
      </c>
      <c r="K153" s="43">
        <f ca="1">'Car+SUV'!K153+'Van+Ute'!K153</f>
        <v>16893.278548664501</v>
      </c>
      <c r="L153" s="43">
        <f ca="1">'Car+SUV'!L153+'Van+Ute'!L153</f>
        <v>33979.780439387236</v>
      </c>
      <c r="M153" s="43">
        <f ca="1">'Car+SUV'!M153+'Van+Ute'!M153</f>
        <v>51718.068532599675</v>
      </c>
      <c r="N153" s="43">
        <f ca="1">'Car+SUV'!N153+'Van+Ute'!N153</f>
        <v>69980.42483621533</v>
      </c>
      <c r="O153" s="56">
        <f ca="1">'Car+SUV'!O153+'Van+Ute'!O153</f>
        <v>88708.205911494224</v>
      </c>
      <c r="P153" s="56">
        <f ca="1">'Car+SUV'!P153+'Van+Ute'!P153</f>
        <v>107729.96402898862</v>
      </c>
      <c r="Q153" s="57">
        <f ca="1">'Car+SUV'!Q153+'Van+Ute'!Q153</f>
        <v>127003.15858752196</v>
      </c>
    </row>
    <row r="154" spans="3:17" ht="15.5" x14ac:dyDescent="0.35">
      <c r="C154" s="24" t="s">
        <v>3</v>
      </c>
      <c r="D154" s="42">
        <f>'Car+SUV'!D154+'Van+Ute'!D154</f>
        <v>519.08091153501471</v>
      </c>
      <c r="E154" s="43">
        <f>'Car+SUV'!E154+'Van+Ute'!E154</f>
        <v>506.07258064516128</v>
      </c>
      <c r="F154" s="43">
        <f>'Car+SUV'!F154+'Van+Ute'!F154</f>
        <v>513.06998114985868</v>
      </c>
      <c r="G154" s="43">
        <f>'Car+SUV'!G154+'Van+Ute'!G154</f>
        <v>528.06348240543548</v>
      </c>
      <c r="H154" s="43">
        <f>'Car+SUV'!H154+'Van+Ute'!H154</f>
        <v>603.06706609972935</v>
      </c>
      <c r="I154" s="43">
        <f>'Car+SUV'!I154+'Van+Ute'!I154</f>
        <v>781.0644204018547</v>
      </c>
      <c r="J154" s="43">
        <f ca="1">'Car+SUV'!J154+'Van+Ute'!J154</f>
        <v>913.62263820034218</v>
      </c>
      <c r="K154" s="43">
        <f ca="1">'Car+SUV'!K154+'Van+Ute'!K154</f>
        <v>11873.95389516417</v>
      </c>
      <c r="L154" s="43">
        <f ca="1">'Car+SUV'!L154+'Van+Ute'!L154</f>
        <v>23507.797120306834</v>
      </c>
      <c r="M154" s="43">
        <f ca="1">'Car+SUV'!M154+'Van+Ute'!M154</f>
        <v>35409.369935948482</v>
      </c>
      <c r="N154" s="43">
        <f ca="1">'Car+SUV'!N154+'Van+Ute'!N154</f>
        <v>47497.842075041859</v>
      </c>
      <c r="O154" s="56">
        <f ca="1">'Car+SUV'!O154+'Van+Ute'!O154</f>
        <v>59712.484342316951</v>
      </c>
      <c r="P154" s="56">
        <f ca="1">'Car+SUV'!P154+'Van+Ute'!P154</f>
        <v>71940.37436139425</v>
      </c>
      <c r="Q154" s="57">
        <f ca="1">'Car+SUV'!Q154+'Van+Ute'!Q154</f>
        <v>84149.757859894249</v>
      </c>
    </row>
    <row r="155" spans="3:17" ht="15.5" x14ac:dyDescent="0.35">
      <c r="C155" s="24" t="s">
        <v>4</v>
      </c>
      <c r="D155" s="42">
        <f>'Car+SUV'!D155+'Van+Ute'!D155</f>
        <v>58.010498015619</v>
      </c>
      <c r="E155" s="43">
        <f>'Car+SUV'!E155+'Van+Ute'!E155</f>
        <v>60.011088709677416</v>
      </c>
      <c r="F155" s="43">
        <f>'Car+SUV'!F155+'Van+Ute'!F155</f>
        <v>63.008953817153632</v>
      </c>
      <c r="G155" s="43">
        <f>'Car+SUV'!G155+'Van+Ute'!G155</f>
        <v>60.007301490721019</v>
      </c>
      <c r="H155" s="43">
        <f>'Car+SUV'!H155+'Van+Ute'!H155</f>
        <v>64.007151140316964</v>
      </c>
      <c r="I155" s="43">
        <f>'Car+SUV'!I155+'Van+Ute'!I155</f>
        <v>60.004451313755794</v>
      </c>
      <c r="J155" s="43">
        <f ca="1">'Car+SUV'!J155+'Van+Ute'!J155</f>
        <v>69.034399458176722</v>
      </c>
      <c r="K155" s="43">
        <f ca="1">'Car+SUV'!K155+'Van+Ute'!K155</f>
        <v>1144.5010653877603</v>
      </c>
      <c r="L155" s="43">
        <f ca="1">'Car+SUV'!L155+'Van+Ute'!L155</f>
        <v>2243.8440556546279</v>
      </c>
      <c r="M155" s="43">
        <f ca="1">'Car+SUV'!M155+'Van+Ute'!M155</f>
        <v>3323.5374217323538</v>
      </c>
      <c r="N155" s="43">
        <f ca="1">'Car+SUV'!N155+'Van+Ute'!N155</f>
        <v>4379.5571642572395</v>
      </c>
      <c r="O155" s="56">
        <f ca="1">'Car+SUV'!O155+'Van+Ute'!O155</f>
        <v>5410.0545018310531</v>
      </c>
      <c r="P155" s="56">
        <f ca="1">'Car+SUV'!P155+'Van+Ute'!P155</f>
        <v>6403.1115101637597</v>
      </c>
      <c r="Q155" s="57">
        <f ca="1">'Car+SUV'!Q155+'Van+Ute'!Q155</f>
        <v>7357.4357962303138</v>
      </c>
    </row>
    <row r="156" spans="3:17" ht="15.5" x14ac:dyDescent="0.35">
      <c r="C156" s="24" t="s">
        <v>5</v>
      </c>
      <c r="D156" s="42">
        <f>'Car+SUV'!D156+'Van+Ute'!D156</f>
        <v>245.04429650492895</v>
      </c>
      <c r="E156" s="43">
        <f>'Car+SUV'!E156+'Van+Ute'!E156</f>
        <v>253.04485887096774</v>
      </c>
      <c r="F156" s="43">
        <f>'Car+SUV'!F156+'Van+Ute'!F156</f>
        <v>262.04311969839773</v>
      </c>
      <c r="G156" s="43">
        <f>'Car+SUV'!G156+'Van+Ute'!G156</f>
        <v>297.0417807524592</v>
      </c>
      <c r="H156" s="43">
        <f>'Car+SUV'!H156+'Van+Ute'!H156</f>
        <v>346.04889833784307</v>
      </c>
      <c r="I156" s="43">
        <f>'Car+SUV'!I156+'Van+Ute'!I156</f>
        <v>360.03004636785158</v>
      </c>
      <c r="J156" s="43">
        <f ca="1">'Car+SUV'!J156+'Van+Ute'!J156</f>
        <v>420.72605366160735</v>
      </c>
      <c r="K156" s="43">
        <f ca="1">'Car+SUV'!K156+'Van+Ute'!K156</f>
        <v>5097.4240673817485</v>
      </c>
      <c r="L156" s="43">
        <f ca="1">'Car+SUV'!L156+'Van+Ute'!L156</f>
        <v>10062.271776777576</v>
      </c>
      <c r="M156" s="43">
        <f ca="1">'Car+SUV'!M156+'Van+Ute'!M156</f>
        <v>15156.023875065661</v>
      </c>
      <c r="N156" s="43">
        <f ca="1">'Car+SUV'!N156+'Van+Ute'!N156</f>
        <v>20362.065351316523</v>
      </c>
      <c r="O156" s="56">
        <f ca="1">'Car+SUV'!O156+'Van+Ute'!O156</f>
        <v>25670.623863566962</v>
      </c>
      <c r="P156" s="56">
        <f ca="1">'Car+SUV'!P156+'Van+Ute'!P156</f>
        <v>31041.313126170164</v>
      </c>
      <c r="Q156" s="57">
        <f ca="1">'Car+SUV'!Q156+'Van+Ute'!Q156</f>
        <v>36472.903413835025</v>
      </c>
    </row>
    <row r="157" spans="3:17" ht="15.5" x14ac:dyDescent="0.35">
      <c r="C157" s="24" t="s">
        <v>6</v>
      </c>
      <c r="D157" s="42">
        <f>'Car+SUV'!D157+'Van+Ute'!D157</f>
        <v>115.02125208039944</v>
      </c>
      <c r="E157" s="43">
        <f>'Car+SUV'!E157+'Van+Ute'!E157</f>
        <v>125.02242943548387</v>
      </c>
      <c r="F157" s="43">
        <f>'Car+SUV'!F157+'Van+Ute'!F157</f>
        <v>122.02026390197926</v>
      </c>
      <c r="G157" s="43">
        <f>'Car+SUV'!G157+'Van+Ute'!G157</f>
        <v>117.01663117330898</v>
      </c>
      <c r="H157" s="43">
        <f>'Car+SUV'!H157+'Van+Ute'!H157</f>
        <v>130.01778121376111</v>
      </c>
      <c r="I157" s="43">
        <f>'Car+SUV'!I157+'Van+Ute'!I157</f>
        <v>142.01149922720248</v>
      </c>
      <c r="J157" s="43">
        <f ca="1">'Car+SUV'!J157+'Van+Ute'!J157</f>
        <v>166.99211499729776</v>
      </c>
      <c r="K157" s="43">
        <f ca="1">'Car+SUV'!K157+'Van+Ute'!K157</f>
        <v>2999.6849030419585</v>
      </c>
      <c r="L157" s="43">
        <f ca="1">'Car+SUV'!L157+'Van+Ute'!L157</f>
        <v>6057.7812417516579</v>
      </c>
      <c r="M157" s="43">
        <f ca="1">'Car+SUV'!M157+'Van+Ute'!M157</f>
        <v>9250.9526299675472</v>
      </c>
      <c r="N157" s="43">
        <f ca="1">'Car+SUV'!N157+'Van+Ute'!N157</f>
        <v>12568.255136192882</v>
      </c>
      <c r="O157" s="56">
        <f ca="1">'Car+SUV'!O157+'Van+Ute'!O157</f>
        <v>16001.767244930661</v>
      </c>
      <c r="P157" s="56">
        <f ca="1">'Car+SUV'!P157+'Van+Ute'!P157</f>
        <v>19526.386637957483</v>
      </c>
      <c r="Q157" s="57">
        <f ca="1">'Car+SUV'!Q157+'Van+Ute'!Q157</f>
        <v>23140.623785877688</v>
      </c>
    </row>
    <row r="158" spans="3:17" ht="15.5" x14ac:dyDescent="0.35">
      <c r="C158" s="24" t="s">
        <v>7</v>
      </c>
      <c r="D158" s="42">
        <f>'Car+SUV'!D158+'Van+Ute'!D158</f>
        <v>258.03994366918448</v>
      </c>
      <c r="E158" s="43">
        <f>'Car+SUV'!E158+'Van+Ute'!E158</f>
        <v>257.03780241935488</v>
      </c>
      <c r="F158" s="43">
        <f>'Car+SUV'!F158+'Van+Ute'!F158</f>
        <v>246.03510838831292</v>
      </c>
      <c r="G158" s="43">
        <f>'Car+SUV'!G158+'Van+Ute'!G158</f>
        <v>256.03224825068446</v>
      </c>
      <c r="H158" s="43">
        <f>'Car+SUV'!H158+'Van+Ute'!H158</f>
        <v>369.03247004252029</v>
      </c>
      <c r="I158" s="43">
        <f>'Car+SUV'!I158+'Van+Ute'!I158</f>
        <v>331.0252241112828</v>
      </c>
      <c r="J158" s="43">
        <f ca="1">'Car+SUV'!J158+'Van+Ute'!J158</f>
        <v>383.3886567197892</v>
      </c>
      <c r="K158" s="43">
        <f ca="1">'Car+SUV'!K158+'Van+Ute'!K158</f>
        <v>6665.5205766215513</v>
      </c>
      <c r="L158" s="43">
        <f ca="1">'Car+SUV'!L158+'Van+Ute'!L158</f>
        <v>13208.515045355702</v>
      </c>
      <c r="M158" s="43">
        <f ca="1">'Car+SUV'!M158+'Van+Ute'!M158</f>
        <v>19790.066577956542</v>
      </c>
      <c r="N158" s="43">
        <f ca="1">'Car+SUV'!N158+'Van+Ute'!N158</f>
        <v>26351.948456224629</v>
      </c>
      <c r="O158" s="56">
        <f ca="1">'Car+SUV'!O158+'Van+Ute'!O158</f>
        <v>32899.452410937374</v>
      </c>
      <c r="P158" s="56">
        <f ca="1">'Car+SUV'!P158+'Van+Ute'!P158</f>
        <v>39372.618520741504</v>
      </c>
      <c r="Q158" s="57">
        <f ca="1">'Car+SUV'!Q158+'Van+Ute'!Q158</f>
        <v>45769.359421391047</v>
      </c>
    </row>
    <row r="159" spans="3:17" ht="15.5" x14ac:dyDescent="0.35">
      <c r="C159" s="24" t="s">
        <v>8</v>
      </c>
      <c r="D159" s="42">
        <f>'Car+SUV'!D159+'Van+Ute'!D159</f>
        <v>1450.3344002048393</v>
      </c>
      <c r="E159" s="43">
        <f>'Car+SUV'!E159+'Van+Ute'!E159</f>
        <v>1469.3344254032259</v>
      </c>
      <c r="F159" s="43">
        <f>'Car+SUV'!F159+'Van+Ute'!F159</f>
        <v>1516.3228086710651</v>
      </c>
      <c r="G159" s="43">
        <f>'Car+SUV'!G159+'Van+Ute'!G159</f>
        <v>1722.3194402190445</v>
      </c>
      <c r="H159" s="43">
        <f>'Car+SUV'!H159+'Van+Ute'!H159</f>
        <v>1704.3005411673753</v>
      </c>
      <c r="I159" s="43">
        <f>'Car+SUV'!I159+'Van+Ute'!I159</f>
        <v>2733.3144358578052</v>
      </c>
      <c r="J159" s="43">
        <f ca="1">'Car+SUV'!J159+'Van+Ute'!J159</f>
        <v>3222.9170825886631</v>
      </c>
      <c r="K159" s="43">
        <f ca="1">'Car+SUV'!K159+'Van+Ute'!K159</f>
        <v>14315.957514105323</v>
      </c>
      <c r="L159" s="43">
        <f ca="1">'Car+SUV'!L159+'Van+Ute'!L159</f>
        <v>26274.024985180527</v>
      </c>
      <c r="M159" s="43">
        <f ca="1">'Car+SUV'!M159+'Van+Ute'!M159</f>
        <v>38746.426243748181</v>
      </c>
      <c r="N159" s="43">
        <f ca="1">'Car+SUV'!N159+'Van+Ute'!N159</f>
        <v>51680.344366633886</v>
      </c>
      <c r="O159" s="56">
        <f ca="1">'Car+SUV'!O159+'Van+Ute'!O159</f>
        <v>65039.465455350452</v>
      </c>
      <c r="P159" s="56">
        <f ca="1">'Car+SUV'!P159+'Van+Ute'!P159</f>
        <v>78744.312956802445</v>
      </c>
      <c r="Q159" s="57">
        <f ca="1">'Car+SUV'!Q159+'Van+Ute'!Q159</f>
        <v>92782.387278685957</v>
      </c>
    </row>
    <row r="160" spans="3:17" ht="15.5" x14ac:dyDescent="0.35">
      <c r="C160" s="24" t="s">
        <v>9</v>
      </c>
      <c r="D160" s="42">
        <f>'Car+SUV'!D160+'Van+Ute'!D160</f>
        <v>260.0425041607989</v>
      </c>
      <c r="E160" s="43">
        <f>'Car+SUV'!E160+'Van+Ute'!E160</f>
        <v>243.03679435483872</v>
      </c>
      <c r="F160" s="43">
        <f>'Car+SUV'!F160+'Van+Ute'!F160</f>
        <v>255.03534401508011</v>
      </c>
      <c r="G160" s="43">
        <f>'Car+SUV'!G160+'Van+Ute'!G160</f>
        <v>266.03123415475102</v>
      </c>
      <c r="H160" s="43">
        <f>'Car+SUV'!H160+'Van+Ute'!H160</f>
        <v>307.03536915345956</v>
      </c>
      <c r="I160" s="43">
        <f>'Car+SUV'!I160+'Van+Ute'!I160</f>
        <v>346.02633693972177</v>
      </c>
      <c r="J160" s="43">
        <f ca="1">'Car+SUV'!J160+'Van+Ute'!J160</f>
        <v>400.51617008538585</v>
      </c>
      <c r="K160" s="43">
        <f ca="1">'Car+SUV'!K160+'Van+Ute'!K160</f>
        <v>5518.6534476879342</v>
      </c>
      <c r="L160" s="43">
        <f ca="1">'Car+SUV'!L160+'Van+Ute'!L160</f>
        <v>10847.19674203596</v>
      </c>
      <c r="M160" s="43">
        <f ca="1">'Car+SUV'!M160+'Van+Ute'!M160</f>
        <v>16195.760430677787</v>
      </c>
      <c r="N160" s="43">
        <f ca="1">'Car+SUV'!N160+'Van+Ute'!N160</f>
        <v>21491.393930926493</v>
      </c>
      <c r="O160" s="56">
        <f ca="1">'Car+SUV'!O160+'Van+Ute'!O160</f>
        <v>26739.569350415943</v>
      </c>
      <c r="P160" s="56">
        <f ca="1">'Car+SUV'!P160+'Van+Ute'!P160</f>
        <v>31885.402122434014</v>
      </c>
      <c r="Q160" s="57">
        <f ca="1">'Car+SUV'!Q160+'Van+Ute'!Q160</f>
        <v>36919.64182896923</v>
      </c>
    </row>
    <row r="161" spans="3:17" ht="15.5" x14ac:dyDescent="0.35">
      <c r="C161" s="24" t="s">
        <v>10</v>
      </c>
      <c r="D161" s="42">
        <f>'Car+SUV'!D161+'Van+Ute'!D161</f>
        <v>80.007425425681731</v>
      </c>
      <c r="E161" s="43">
        <f>'Car+SUV'!E161+'Van+Ute'!E161</f>
        <v>82.006804435483872</v>
      </c>
      <c r="F161" s="43">
        <f>'Car+SUV'!F161+'Van+Ute'!F161</f>
        <v>82.006833176248819</v>
      </c>
      <c r="G161" s="43">
        <f>'Car+SUV'!G161+'Van+Ute'!G161</f>
        <v>89.006490213974246</v>
      </c>
      <c r="H161" s="43">
        <f>'Car+SUV'!H161+'Van+Ute'!H161</f>
        <v>93.006764592191729</v>
      </c>
      <c r="I161" s="43">
        <f>'Car+SUV'!I161+'Van+Ute'!I161</f>
        <v>94.004204018547142</v>
      </c>
      <c r="J161" s="43">
        <f ca="1">'Car+SUV'!J161+'Van+Ute'!J161</f>
        <v>106.82366541095512</v>
      </c>
      <c r="K161" s="43">
        <f ca="1">'Car+SUV'!K161+'Van+Ute'!K161</f>
        <v>1101.9746730178072</v>
      </c>
      <c r="L161" s="43">
        <f ca="1">'Car+SUV'!L161+'Van+Ute'!L161</f>
        <v>2083.2172691401452</v>
      </c>
      <c r="M161" s="43">
        <f ca="1">'Car+SUV'!M161+'Van+Ute'!M161</f>
        <v>3016.2499113846911</v>
      </c>
      <c r="N161" s="43">
        <f ca="1">'Car+SUV'!N161+'Van+Ute'!N161</f>
        <v>3899.7299092620678</v>
      </c>
      <c r="O161" s="56">
        <f ca="1">'Car+SUV'!O161+'Van+Ute'!O161</f>
        <v>4730.0962241196485</v>
      </c>
      <c r="P161" s="56">
        <f ca="1">'Car+SUV'!P161+'Van+Ute'!P161</f>
        <v>5501.3593858058575</v>
      </c>
      <c r="Q161" s="57">
        <f ca="1">'Car+SUV'!Q161+'Van+Ute'!Q161</f>
        <v>6214.8856031337409</v>
      </c>
    </row>
    <row r="162" spans="3:17" ht="15.5" x14ac:dyDescent="0.35">
      <c r="C162" s="24" t="s">
        <v>11</v>
      </c>
      <c r="D162" s="42">
        <f>'Car+SUV'!D162+'Van+Ute'!D162</f>
        <v>1285.2337728843936</v>
      </c>
      <c r="E162" s="43">
        <f>'Car+SUV'!E162+'Van+Ute'!E162</f>
        <v>1269.2363911290322</v>
      </c>
      <c r="F162" s="43">
        <f>'Car+SUV'!F162+'Van+Ute'!F162</f>
        <v>1334.2335061262961</v>
      </c>
      <c r="G162" s="43">
        <f>'Car+SUV'!G162+'Van+Ute'!G162</f>
        <v>1367.2048473785619</v>
      </c>
      <c r="H162" s="43">
        <f>'Car+SUV'!H162+'Van+Ute'!H162</f>
        <v>1496.2124081948202</v>
      </c>
      <c r="I162" s="43">
        <f>'Car+SUV'!I162+'Van+Ute'!I162</f>
        <v>2458.2475425038638</v>
      </c>
      <c r="J162" s="43">
        <f ca="1">'Car+SUV'!J162+'Van+Ute'!J162</f>
        <v>2932.1491841401776</v>
      </c>
      <c r="K162" s="43">
        <f ca="1">'Car+SUV'!K162+'Van+Ute'!K162</f>
        <v>24623.172694818917</v>
      </c>
      <c r="L162" s="43">
        <f ca="1">'Car+SUV'!L162+'Van+Ute'!L162</f>
        <v>48617.856861354623</v>
      </c>
      <c r="M162" s="43">
        <f ca="1">'Car+SUV'!M162+'Van+Ute'!M162</f>
        <v>74250.819462837855</v>
      </c>
      <c r="N162" s="43">
        <f ca="1">'Car+SUV'!N162+'Van+Ute'!N162</f>
        <v>101414.96695083792</v>
      </c>
      <c r="O162" s="56">
        <f ca="1">'Car+SUV'!O162+'Van+Ute'!O162</f>
        <v>130209.0863957886</v>
      </c>
      <c r="P162" s="56">
        <f ca="1">'Car+SUV'!P162+'Van+Ute'!P162</f>
        <v>160401.4272280666</v>
      </c>
      <c r="Q162" s="57">
        <f ca="1">'Car+SUV'!Q162+'Van+Ute'!Q162</f>
        <v>191989.11327788213</v>
      </c>
    </row>
    <row r="163" spans="3:17" ht="15.5" x14ac:dyDescent="0.35">
      <c r="C163" s="24" t="s">
        <v>12</v>
      </c>
      <c r="D163" s="42">
        <f>'Car+SUV'!D163+'Van+Ute'!D163</f>
        <v>772.12239149916786</v>
      </c>
      <c r="E163" s="43">
        <f>'Car+SUV'!E163+'Van+Ute'!E163</f>
        <v>795.12247983870975</v>
      </c>
      <c r="F163" s="43">
        <f>'Car+SUV'!F163+'Van+Ute'!F163</f>
        <v>819.11828463713482</v>
      </c>
      <c r="G163" s="43">
        <f>'Car+SUV'!G163+'Van+Ute'!G163</f>
        <v>849.10445188114795</v>
      </c>
      <c r="H163" s="43">
        <f>'Car+SUV'!H163+'Van+Ute'!H163</f>
        <v>935.11074603788165</v>
      </c>
      <c r="I163" s="43">
        <f>'Car+SUV'!I163+'Van+Ute'!I163</f>
        <v>1107.0863060278207</v>
      </c>
      <c r="J163" s="43">
        <f ca="1">'Car+SUV'!J163+'Van+Ute'!J163</f>
        <v>1319.4848008186498</v>
      </c>
      <c r="K163" s="43">
        <f ca="1">'Car+SUV'!K163+'Van+Ute'!K163</f>
        <v>10579.197469639959</v>
      </c>
      <c r="L163" s="43">
        <f ca="1">'Car+SUV'!L163+'Van+Ute'!L163</f>
        <v>20742.023536637105</v>
      </c>
      <c r="M163" s="43">
        <f ca="1">'Car+SUV'!M163+'Van+Ute'!M163</f>
        <v>31504.266641757822</v>
      </c>
      <c r="N163" s="43">
        <f ca="1">'Car+SUV'!N163+'Van+Ute'!N163</f>
        <v>42832.162549040608</v>
      </c>
      <c r="O163" s="56">
        <f ca="1">'Car+SUV'!O163+'Van+Ute'!O163</f>
        <v>54715.283717660641</v>
      </c>
      <c r="P163" s="56">
        <f ca="1">'Car+SUV'!P163+'Van+Ute'!P163</f>
        <v>67067.675893800551</v>
      </c>
      <c r="Q163" s="57">
        <f ca="1">'Car+SUV'!Q163+'Van+Ute'!Q163</f>
        <v>79880.032205378593</v>
      </c>
    </row>
    <row r="164" spans="3:17" ht="16" thickBot="1" x14ac:dyDescent="0.4">
      <c r="C164" s="25" t="s">
        <v>13</v>
      </c>
      <c r="D164" s="45">
        <f>'Car+SUV'!D164+'Van+Ute'!D164</f>
        <v>194.02458071949815</v>
      </c>
      <c r="E164" s="46">
        <f>'Car+SUV'!E164+'Van+Ute'!E164</f>
        <v>190.02394153225805</v>
      </c>
      <c r="F164" s="46">
        <f>'Car+SUV'!F164+'Van+Ute'!F164</f>
        <v>188.02285579641847</v>
      </c>
      <c r="G164" s="46">
        <f>'Car+SUV'!G164+'Van+Ute'!G164</f>
        <v>198.02048473785618</v>
      </c>
      <c r="H164" s="46">
        <f>'Car+SUV'!H164+'Van+Ute'!H164</f>
        <v>194.01932740626205</v>
      </c>
      <c r="I164" s="46">
        <f>'Car+SUV'!I164+'Van+Ute'!I164</f>
        <v>202.01360123647603</v>
      </c>
      <c r="J164" s="46">
        <f ca="1">'Car+SUV'!J164+'Van+Ute'!J164</f>
        <v>230.72835553093336</v>
      </c>
      <c r="K164" s="46">
        <f ca="1">'Car+SUV'!K164+'Van+Ute'!K164</f>
        <v>3551.3126179779538</v>
      </c>
      <c r="L164" s="46">
        <f ca="1">'Car+SUV'!L164+'Van+Ute'!L164</f>
        <v>6908.0769375204982</v>
      </c>
      <c r="M164" s="46">
        <f ca="1">'Car+SUV'!M164+'Van+Ute'!M164</f>
        <v>10187.423565348303</v>
      </c>
      <c r="N164" s="46">
        <f ca="1">'Car+SUV'!N164+'Van+Ute'!N164</f>
        <v>13370.351761371767</v>
      </c>
      <c r="O164" s="59">
        <f ca="1">'Car+SUV'!O164+'Van+Ute'!O164</f>
        <v>16446.619932592766</v>
      </c>
      <c r="P164" s="59">
        <f ca="1">'Car+SUV'!P164+'Van+Ute'!P164</f>
        <v>19385.09753686938</v>
      </c>
      <c r="Q164" s="60">
        <f ca="1">'Car+SUV'!Q164+'Van+Ute'!Q164</f>
        <v>22183.519733494184</v>
      </c>
    </row>
    <row r="165" spans="3:17" ht="16.5" thickTop="1" thickBot="1" x14ac:dyDescent="0.4">
      <c r="C165" s="20" t="s">
        <v>24</v>
      </c>
      <c r="D165" s="48">
        <f t="shared" ref="D165:N165" si="75">SUM(D151:D164)</f>
        <v>10246</v>
      </c>
      <c r="E165" s="48">
        <f t="shared" si="75"/>
        <v>10364.000000000002</v>
      </c>
      <c r="F165" s="48">
        <f t="shared" si="75"/>
        <v>11004</v>
      </c>
      <c r="G165" s="48">
        <f t="shared" ref="G165:H165" si="76">SUM(G151:G164)</f>
        <v>12469.999999999998</v>
      </c>
      <c r="H165" s="48">
        <f t="shared" si="76"/>
        <v>13277</v>
      </c>
      <c r="I165" s="48">
        <f t="shared" si="75"/>
        <v>19295</v>
      </c>
      <c r="J165" s="48">
        <f t="shared" ca="1" si="75"/>
        <v>22906.182074437165</v>
      </c>
      <c r="K165" s="48">
        <f t="shared" ca="1" si="75"/>
        <v>160053.46253519671</v>
      </c>
      <c r="L165" s="48">
        <f t="shared" ca="1" si="75"/>
        <v>308190.34691362339</v>
      </c>
      <c r="M165" s="48">
        <f t="shared" ca="1" si="75"/>
        <v>462830.9873604037</v>
      </c>
      <c r="N165" s="48">
        <f t="shared" ca="1" si="75"/>
        <v>623229.99838877865</v>
      </c>
      <c r="O165" s="62">
        <f t="shared" ref="O165:Q165" ca="1" si="77">SUM(O151:O164)</f>
        <v>789180.33032150299</v>
      </c>
      <c r="P165" s="62">
        <f t="shared" ca="1" si="77"/>
        <v>959461.86195358599</v>
      </c>
      <c r="Q165" s="63">
        <f t="shared" ca="1" si="77"/>
        <v>1133847.061427705</v>
      </c>
    </row>
    <row r="166" spans="3:17" ht="13" thickTop="1" x14ac:dyDescent="0.25">
      <c r="M166" s="56"/>
      <c r="N166" s="56"/>
      <c r="O166" s="56"/>
    </row>
  </sheetData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C3:AA167"/>
  <sheetViews>
    <sheetView topLeftCell="A111" zoomScale="90" zoomScaleNormal="90" workbookViewId="0">
      <selection activeCell="O157" sqref="O157"/>
    </sheetView>
  </sheetViews>
  <sheetFormatPr defaultRowHeight="12.5" x14ac:dyDescent="0.25"/>
  <cols>
    <col min="3" max="3" width="27.81640625" customWidth="1"/>
    <col min="4" max="25" width="17.81640625" customWidth="1"/>
  </cols>
  <sheetData>
    <row r="3" spans="3:26" ht="13" thickBot="1" x14ac:dyDescent="0.3"/>
    <row r="4" spans="3:26" ht="16" thickTop="1" x14ac:dyDescent="0.35">
      <c r="C4" s="32" t="s">
        <v>160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  <c r="R4" s="121"/>
      <c r="S4" s="32" t="s">
        <v>104</v>
      </c>
      <c r="T4" s="33"/>
      <c r="U4" s="33"/>
      <c r="V4" s="33"/>
      <c r="W4" s="34"/>
      <c r="X4" s="34"/>
      <c r="Y4" s="35"/>
    </row>
    <row r="5" spans="3:26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  <c r="R5" s="65"/>
      <c r="S5" s="36"/>
      <c r="T5" s="37" t="s">
        <v>25</v>
      </c>
      <c r="U5" s="37" t="s">
        <v>37</v>
      </c>
      <c r="V5" s="37" t="s">
        <v>38</v>
      </c>
      <c r="W5" s="37" t="s">
        <v>177</v>
      </c>
      <c r="X5" s="37" t="s">
        <v>178</v>
      </c>
      <c r="Y5" s="38" t="s">
        <v>26</v>
      </c>
    </row>
    <row r="6" spans="3:26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  <c r="R6" s="65"/>
      <c r="S6" s="70"/>
      <c r="T6" s="65" t="s">
        <v>39</v>
      </c>
      <c r="U6" s="65" t="s">
        <v>39</v>
      </c>
      <c r="V6" s="65" t="s">
        <v>39</v>
      </c>
      <c r="W6" s="65" t="s">
        <v>39</v>
      </c>
      <c r="X6" s="71" t="s">
        <v>39</v>
      </c>
      <c r="Y6" s="72" t="s">
        <v>39</v>
      </c>
    </row>
    <row r="7" spans="3:26" ht="16" thickTop="1" x14ac:dyDescent="0.35">
      <c r="C7" s="24" t="s">
        <v>0</v>
      </c>
      <c r="D7" s="52">
        <f>'Scaled 2012-13 Data'!$C6</f>
        <v>1154.0786871360624</v>
      </c>
      <c r="E7" s="53">
        <f>'Scaled 2013-14 Data'!$C6</f>
        <v>1207.1633383182407</v>
      </c>
      <c r="F7" s="53">
        <f>'Scaled 2014-15 Data'!$C6</f>
        <v>1234.8097626669858</v>
      </c>
      <c r="G7" s="53">
        <f>'Scaled 2015-16 Data'!$C6</f>
        <v>1288.7107796555235</v>
      </c>
      <c r="H7" s="53">
        <f>'Scaled 2016-17 Data'!$C6</f>
        <v>1310.4594569082421</v>
      </c>
      <c r="I7" s="129">
        <f>'Scaled 2017-18 Data'!$C6</f>
        <v>1440.7185610958193</v>
      </c>
      <c r="J7" s="129">
        <f t="shared" ref="J7:Q20" ca="1" si="0">J49+J90+J131</f>
        <v>1532.2312060922343</v>
      </c>
      <c r="K7" s="129">
        <f t="shared" ca="1" si="0"/>
        <v>1614.0194244007312</v>
      </c>
      <c r="L7" s="129">
        <f t="shared" ca="1" si="0"/>
        <v>1686.090719486223</v>
      </c>
      <c r="M7" s="129">
        <f t="shared" ca="1" si="0"/>
        <v>1742.6362170907535</v>
      </c>
      <c r="N7" s="129">
        <f t="shared" ca="1" si="0"/>
        <v>1792.5877274496977</v>
      </c>
      <c r="O7" s="129">
        <f t="shared" ca="1" si="0"/>
        <v>1840.608726305391</v>
      </c>
      <c r="P7" s="129">
        <f t="shared" ca="1" si="0"/>
        <v>1884.5259567489695</v>
      </c>
      <c r="Q7" s="197">
        <f t="shared" ca="1" si="0"/>
        <v>1924.7863430035118</v>
      </c>
      <c r="R7" s="56"/>
      <c r="S7" s="24" t="s">
        <v>0</v>
      </c>
      <c r="T7" s="52">
        <f>D49+'Vehicle Share Diversion Support'!D66+D131</f>
        <v>1154.0786871360624</v>
      </c>
      <c r="U7" s="53">
        <f>E49+'Vehicle Share Diversion Support'!E66+E131</f>
        <v>1207.1633383182409</v>
      </c>
      <c r="V7" s="53">
        <f>F49+'Vehicle Share Diversion Support'!F66+F131</f>
        <v>1234.8097626669855</v>
      </c>
      <c r="W7" s="53">
        <f>G49+'Vehicle Share Diversion Support'!G66+G131</f>
        <v>1288.7107796555238</v>
      </c>
      <c r="X7" s="53">
        <f>H49+'Vehicle Share Diversion Support'!H66+H131</f>
        <v>1310.4594569082421</v>
      </c>
      <c r="Y7" s="54">
        <f>I49+'Vehicle Share Diversion Support'!I66+I131</f>
        <v>1440.7185610958195</v>
      </c>
      <c r="Z7" s="56"/>
    </row>
    <row r="8" spans="3:26" ht="15.5" x14ac:dyDescent="0.35">
      <c r="C8" s="24" t="s">
        <v>1</v>
      </c>
      <c r="D8" s="55">
        <f>'Scaled 2012-13 Data'!$C7</f>
        <v>10087.405292093019</v>
      </c>
      <c r="E8" s="56">
        <f>'Scaled 2013-14 Data'!$C7</f>
        <v>10231.883329892014</v>
      </c>
      <c r="F8" s="56">
        <f>'Scaled 2014-15 Data'!$C7</f>
        <v>10382.313625753499</v>
      </c>
      <c r="G8" s="56">
        <f>'Scaled 2015-16 Data'!$C7</f>
        <v>10567.714879712083</v>
      </c>
      <c r="H8" s="56">
        <f>'Scaled 2016-17 Data'!$C7</f>
        <v>10918.950544000898</v>
      </c>
      <c r="I8" s="167">
        <f>'Scaled 2017-18 Data'!$C7</f>
        <v>10816.632090439758</v>
      </c>
      <c r="J8" s="167">
        <f t="shared" ca="1" si="0"/>
        <v>11724.652377019538</v>
      </c>
      <c r="K8" s="167">
        <f t="shared" ca="1" si="0"/>
        <v>12531.392377757695</v>
      </c>
      <c r="L8" s="167">
        <f t="shared" ca="1" si="0"/>
        <v>13363.212568775265</v>
      </c>
      <c r="M8" s="167">
        <f t="shared" ca="1" si="0"/>
        <v>14116.277095187488</v>
      </c>
      <c r="N8" s="167">
        <f t="shared" ca="1" si="0"/>
        <v>14871.260330619454</v>
      </c>
      <c r="O8" s="167">
        <f t="shared" ca="1" si="0"/>
        <v>15648.284564149119</v>
      </c>
      <c r="P8" s="167">
        <f t="shared" ca="1" si="0"/>
        <v>16413.803461345815</v>
      </c>
      <c r="Q8" s="198">
        <f t="shared" ca="1" si="0"/>
        <v>17160.407495249063</v>
      </c>
      <c r="R8" s="56"/>
      <c r="S8" s="24" t="s">
        <v>1</v>
      </c>
      <c r="T8" s="55">
        <f>D50+'Vehicle Share Diversion Support'!D67+D132</f>
        <v>10087.405292093019</v>
      </c>
      <c r="U8" s="56">
        <f>E50+'Vehicle Share Diversion Support'!E67+E132</f>
        <v>10231.883329892014</v>
      </c>
      <c r="V8" s="56">
        <f>F50+'Vehicle Share Diversion Support'!F67+F132</f>
        <v>10382.313625753499</v>
      </c>
      <c r="W8" s="56">
        <f>G50+'Vehicle Share Diversion Support'!G67+G132</f>
        <v>10567.714879712083</v>
      </c>
      <c r="X8" s="56">
        <f>H50+'Vehicle Share Diversion Support'!H67+H132</f>
        <v>10918.950544000896</v>
      </c>
      <c r="Y8" s="57">
        <f>I50+'Vehicle Share Diversion Support'!I67+I132</f>
        <v>10816.632090439758</v>
      </c>
      <c r="Z8" s="56"/>
    </row>
    <row r="9" spans="3:26" ht="15.5" x14ac:dyDescent="0.35">
      <c r="C9" s="24" t="s">
        <v>2</v>
      </c>
      <c r="D9" s="55">
        <f>'Scaled 2012-13 Data'!$C8</f>
        <v>3861.0172577983817</v>
      </c>
      <c r="E9" s="56">
        <f>'Scaled 2013-14 Data'!$C8</f>
        <v>3773.8836495942396</v>
      </c>
      <c r="F9" s="56">
        <f>'Scaled 2014-15 Data'!$C8</f>
        <v>3915.9824601516216</v>
      </c>
      <c r="G9" s="56">
        <f>'Scaled 2015-16 Data'!$C8</f>
        <v>4127.7311806454254</v>
      </c>
      <c r="H9" s="56">
        <f>'Scaled 2016-17 Data'!$C8</f>
        <v>4325.8637029715546</v>
      </c>
      <c r="I9" s="167">
        <f>'Scaled 2017-18 Data'!$C8</f>
        <v>4602.1468118407038</v>
      </c>
      <c r="J9" s="167">
        <f t="shared" ca="1" si="0"/>
        <v>4917.0414106764629</v>
      </c>
      <c r="K9" s="167">
        <f t="shared" ca="1" si="0"/>
        <v>5197.6153911394322</v>
      </c>
      <c r="L9" s="167">
        <f t="shared" ca="1" si="0"/>
        <v>5453.1092019598982</v>
      </c>
      <c r="M9" s="167">
        <f t="shared" ca="1" si="0"/>
        <v>5661.1066441703342</v>
      </c>
      <c r="N9" s="167">
        <f t="shared" ca="1" si="0"/>
        <v>5854.9272128437169</v>
      </c>
      <c r="O9" s="167">
        <f t="shared" ca="1" si="0"/>
        <v>6043.3543768980599</v>
      </c>
      <c r="P9" s="167">
        <f t="shared" ca="1" si="0"/>
        <v>6216.8133274199809</v>
      </c>
      <c r="Q9" s="198">
        <f t="shared" ca="1" si="0"/>
        <v>6375.5207990585332</v>
      </c>
      <c r="R9" s="56"/>
      <c r="S9" s="24" t="s">
        <v>2</v>
      </c>
      <c r="T9" s="55">
        <f>D51+'Vehicle Share Diversion Support'!D68+D133</f>
        <v>3861.0172577983822</v>
      </c>
      <c r="U9" s="56">
        <f>E51+'Vehicle Share Diversion Support'!E68+E133</f>
        <v>3773.8836495942401</v>
      </c>
      <c r="V9" s="56">
        <f>F51+'Vehicle Share Diversion Support'!F68+F133</f>
        <v>3915.9824601516216</v>
      </c>
      <c r="W9" s="56">
        <f>G51+'Vehicle Share Diversion Support'!G68+G133</f>
        <v>4127.7311806454254</v>
      </c>
      <c r="X9" s="56">
        <f>H51+'Vehicle Share Diversion Support'!H68+H133</f>
        <v>4325.8637029715546</v>
      </c>
      <c r="Y9" s="57">
        <f>I51+'Vehicle Share Diversion Support'!I68+I133</f>
        <v>4602.1468118407047</v>
      </c>
      <c r="Z9" s="56"/>
    </row>
    <row r="10" spans="3:26" ht="15.5" x14ac:dyDescent="0.35">
      <c r="C10" s="24" t="s">
        <v>3</v>
      </c>
      <c r="D10" s="55">
        <f>'Scaled 2012-13 Data'!$C9</f>
        <v>1894.871315839719</v>
      </c>
      <c r="E10" s="56">
        <f>'Scaled 2013-14 Data'!$C9</f>
        <v>1958.6516845193339</v>
      </c>
      <c r="F10" s="56">
        <f>'Scaled 2014-15 Data'!$C9</f>
        <v>1958.2973608280238</v>
      </c>
      <c r="G10" s="56">
        <f>'Scaled 2015-16 Data'!$C9</f>
        <v>2027.1505458435281</v>
      </c>
      <c r="H10" s="56">
        <f>'Scaled 2016-17 Data'!$C9</f>
        <v>2282.4128309615326</v>
      </c>
      <c r="I10" s="167">
        <f>'Scaled 2017-18 Data'!$C9</f>
        <v>2301.3888319976277</v>
      </c>
      <c r="J10" s="167">
        <f t="shared" ca="1" si="0"/>
        <v>2435.7982082313297</v>
      </c>
      <c r="K10" s="167">
        <f t="shared" ca="1" si="0"/>
        <v>2554.9461465685413</v>
      </c>
      <c r="L10" s="167">
        <f t="shared" ca="1" si="0"/>
        <v>2660.1836748467858</v>
      </c>
      <c r="M10" s="167">
        <f t="shared" ca="1" si="0"/>
        <v>2739.8052810220233</v>
      </c>
      <c r="N10" s="167">
        <f t="shared" ca="1" si="0"/>
        <v>2811.4872076989864</v>
      </c>
      <c r="O10" s="167">
        <f t="shared" ca="1" si="0"/>
        <v>2878.9032568756052</v>
      </c>
      <c r="P10" s="167">
        <f t="shared" ca="1" si="0"/>
        <v>2937.9524354391738</v>
      </c>
      <c r="Q10" s="198">
        <f t="shared" ca="1" si="0"/>
        <v>2989.0299846379812</v>
      </c>
      <c r="R10" s="56"/>
      <c r="S10" s="24" t="s">
        <v>3</v>
      </c>
      <c r="T10" s="55">
        <f>D52+'Vehicle Share Diversion Support'!D69+D134</f>
        <v>1894.8713158397188</v>
      </c>
      <c r="U10" s="56">
        <f>E52+'Vehicle Share Diversion Support'!E69+E134</f>
        <v>1958.6516845193335</v>
      </c>
      <c r="V10" s="56">
        <f>F52+'Vehicle Share Diversion Support'!F69+F134</f>
        <v>1958.2973608280236</v>
      </c>
      <c r="W10" s="56">
        <f>G52+'Vehicle Share Diversion Support'!G69+G134</f>
        <v>2027.1505458435283</v>
      </c>
      <c r="X10" s="56">
        <f>H52+'Vehicle Share Diversion Support'!H69+H134</f>
        <v>2282.4128309615326</v>
      </c>
      <c r="Y10" s="57">
        <f>I52+'Vehicle Share Diversion Support'!I69+I134</f>
        <v>2301.3888319976277</v>
      </c>
      <c r="Z10" s="56"/>
    </row>
    <row r="11" spans="3:26" ht="15.5" x14ac:dyDescent="0.35">
      <c r="C11" s="24" t="s">
        <v>4</v>
      </c>
      <c r="D11" s="55">
        <f>'Scaled 2012-13 Data'!$C10</f>
        <v>241.26432915694534</v>
      </c>
      <c r="E11" s="56">
        <f>'Scaled 2013-14 Data'!$C10</f>
        <v>240.61556831118608</v>
      </c>
      <c r="F11" s="56">
        <f>'Scaled 2014-15 Data'!$C10</f>
        <v>250.49922510618026</v>
      </c>
      <c r="G11" s="56">
        <f>'Scaled 2015-16 Data'!$C10</f>
        <v>258.17168142557739</v>
      </c>
      <c r="H11" s="56">
        <f>'Scaled 2016-17 Data'!$C10</f>
        <v>251.16506051511524</v>
      </c>
      <c r="I11" s="167">
        <f>'Scaled 2017-18 Data'!$C10</f>
        <v>256.75715462575266</v>
      </c>
      <c r="J11" s="167">
        <f t="shared" ca="1" si="0"/>
        <v>264.33146018316205</v>
      </c>
      <c r="K11" s="167">
        <f t="shared" ca="1" si="0"/>
        <v>271.29251237115108</v>
      </c>
      <c r="L11" s="167">
        <f t="shared" ca="1" si="0"/>
        <v>276.64161866501837</v>
      </c>
      <c r="M11" s="167">
        <f t="shared" ca="1" si="0"/>
        <v>278.76578359784469</v>
      </c>
      <c r="N11" s="167">
        <f t="shared" ca="1" si="0"/>
        <v>280.02055685092949</v>
      </c>
      <c r="O11" s="167">
        <f t="shared" ca="1" si="0"/>
        <v>280.8750536163268</v>
      </c>
      <c r="P11" s="167">
        <f t="shared" ca="1" si="0"/>
        <v>280.83122540623219</v>
      </c>
      <c r="Q11" s="198">
        <f t="shared" ca="1" si="0"/>
        <v>280.01230926279823</v>
      </c>
      <c r="R11" s="56"/>
      <c r="S11" s="24" t="s">
        <v>4</v>
      </c>
      <c r="T11" s="55">
        <f>D53+'Vehicle Share Diversion Support'!D70+D135</f>
        <v>241.26432915694531</v>
      </c>
      <c r="U11" s="56">
        <f>E53+'Vehicle Share Diversion Support'!E70+E135</f>
        <v>240.61556831118605</v>
      </c>
      <c r="V11" s="56">
        <f>F53+'Vehicle Share Diversion Support'!F70+F135</f>
        <v>250.49922510618026</v>
      </c>
      <c r="W11" s="56">
        <f>G53+'Vehicle Share Diversion Support'!G70+G135</f>
        <v>258.17168142557739</v>
      </c>
      <c r="X11" s="56">
        <f>H53+'Vehicle Share Diversion Support'!H70+H135</f>
        <v>251.16506051511524</v>
      </c>
      <c r="Y11" s="57">
        <f>I53+'Vehicle Share Diversion Support'!I70+I135</f>
        <v>256.75715462575266</v>
      </c>
      <c r="Z11" s="56"/>
    </row>
    <row r="12" spans="3:26" ht="15.5" x14ac:dyDescent="0.35">
      <c r="C12" s="24" t="s">
        <v>5</v>
      </c>
      <c r="D12" s="55">
        <f>'Scaled 2012-13 Data'!$C11</f>
        <v>1032.0209647336642</v>
      </c>
      <c r="E12" s="56">
        <f>'Scaled 2013-14 Data'!$C11</f>
        <v>1026.1759100481281</v>
      </c>
      <c r="F12" s="56">
        <f>'Scaled 2014-15 Data'!$C11</f>
        <v>1072.1987805887825</v>
      </c>
      <c r="G12" s="56">
        <f>'Scaled 2015-16 Data'!$C11</f>
        <v>1122.8069078706169</v>
      </c>
      <c r="H12" s="56">
        <f>'Scaled 2016-17 Data'!$C11</f>
        <v>1161.2288929729091</v>
      </c>
      <c r="I12" s="167">
        <f>'Scaled 2017-18 Data'!$C11</f>
        <v>1180.4116005248434</v>
      </c>
      <c r="J12" s="167">
        <f t="shared" ca="1" si="0"/>
        <v>1248.6923645981215</v>
      </c>
      <c r="K12" s="167">
        <f t="shared" ca="1" si="0"/>
        <v>1310.0463694365483</v>
      </c>
      <c r="L12" s="167">
        <f t="shared" ca="1" si="0"/>
        <v>1364.5371739478614</v>
      </c>
      <c r="M12" s="167">
        <f t="shared" ca="1" si="0"/>
        <v>1407.2601114322038</v>
      </c>
      <c r="N12" s="167">
        <f t="shared" ca="1" si="0"/>
        <v>1447.6302914170315</v>
      </c>
      <c r="O12" s="167">
        <f t="shared" ca="1" si="0"/>
        <v>1487.4828590368807</v>
      </c>
      <c r="P12" s="167">
        <f t="shared" ca="1" si="0"/>
        <v>1524.387249532846</v>
      </c>
      <c r="Q12" s="198">
        <f t="shared" ca="1" si="0"/>
        <v>1558.5708537003807</v>
      </c>
      <c r="R12" s="56"/>
      <c r="S12" s="24" t="s">
        <v>5</v>
      </c>
      <c r="T12" s="55">
        <f>D54+'Vehicle Share Diversion Support'!D71+D136</f>
        <v>1032.0209647336642</v>
      </c>
      <c r="U12" s="56">
        <f>E54+'Vehicle Share Diversion Support'!E71+E136</f>
        <v>1026.1759100481281</v>
      </c>
      <c r="V12" s="56">
        <f>F54+'Vehicle Share Diversion Support'!F71+F136</f>
        <v>1072.1987805887825</v>
      </c>
      <c r="W12" s="56">
        <f>G54+'Vehicle Share Diversion Support'!G71+G136</f>
        <v>1122.8069078706169</v>
      </c>
      <c r="X12" s="56">
        <f>H54+'Vehicle Share Diversion Support'!H71+H136</f>
        <v>1161.2288929729091</v>
      </c>
      <c r="Y12" s="57">
        <f>I54+'Vehicle Share Diversion Support'!I71+I136</f>
        <v>1180.4116005248434</v>
      </c>
      <c r="Z12" s="56"/>
    </row>
    <row r="13" spans="3:26" ht="15.5" x14ac:dyDescent="0.35">
      <c r="C13" s="24" t="s">
        <v>6</v>
      </c>
      <c r="D13" s="55">
        <f>'Scaled 2012-13 Data'!$C12</f>
        <v>722.68344640793782</v>
      </c>
      <c r="E13" s="56">
        <f>'Scaled 2013-14 Data'!$C12</f>
        <v>740.99610911448769</v>
      </c>
      <c r="F13" s="56">
        <f>'Scaled 2014-15 Data'!$C12</f>
        <v>765.10585109360647</v>
      </c>
      <c r="G13" s="56">
        <f>'Scaled 2015-16 Data'!$C12</f>
        <v>793.64735901412735</v>
      </c>
      <c r="H13" s="56">
        <f>'Scaled 2016-17 Data'!$C12</f>
        <v>816.64413779227027</v>
      </c>
      <c r="I13" s="167">
        <f>'Scaled 2017-18 Data'!$C12</f>
        <v>838.90233374538877</v>
      </c>
      <c r="J13" s="167">
        <f t="shared" ca="1" si="0"/>
        <v>893.19872455486109</v>
      </c>
      <c r="K13" s="167">
        <f t="shared" ca="1" si="0"/>
        <v>942.38980689632308</v>
      </c>
      <c r="L13" s="167">
        <f t="shared" ca="1" si="0"/>
        <v>988.21970376563422</v>
      </c>
      <c r="M13" s="167">
        <f t="shared" ca="1" si="0"/>
        <v>1026.1096466911883</v>
      </c>
      <c r="N13" s="167">
        <f t="shared" ca="1" si="0"/>
        <v>1062.3609521710932</v>
      </c>
      <c r="O13" s="167">
        <f t="shared" ca="1" si="0"/>
        <v>1098.1454508484899</v>
      </c>
      <c r="P13" s="167">
        <f t="shared" ca="1" si="0"/>
        <v>1131.9446743365072</v>
      </c>
      <c r="Q13" s="198">
        <f t="shared" ca="1" si="0"/>
        <v>1164.0038477574994</v>
      </c>
      <c r="R13" s="56"/>
      <c r="S13" s="24" t="s">
        <v>6</v>
      </c>
      <c r="T13" s="55">
        <f>D55+'Vehicle Share Diversion Support'!D72+D137</f>
        <v>722.68344640793771</v>
      </c>
      <c r="U13" s="56">
        <f>E55+'Vehicle Share Diversion Support'!E72+E137</f>
        <v>740.99610911448769</v>
      </c>
      <c r="V13" s="56">
        <f>F55+'Vehicle Share Diversion Support'!F72+F137</f>
        <v>765.10585109360659</v>
      </c>
      <c r="W13" s="56">
        <f>G55+'Vehicle Share Diversion Support'!G72+G137</f>
        <v>793.64735901412723</v>
      </c>
      <c r="X13" s="56">
        <f>H55+'Vehicle Share Diversion Support'!H72+H137</f>
        <v>816.64413779227039</v>
      </c>
      <c r="Y13" s="57">
        <f>I55+'Vehicle Share Diversion Support'!I72+I137</f>
        <v>838.90233374538866</v>
      </c>
      <c r="Z13" s="56"/>
    </row>
    <row r="14" spans="3:26" ht="15.5" x14ac:dyDescent="0.35">
      <c r="C14" s="24" t="s">
        <v>7</v>
      </c>
      <c r="D14" s="55">
        <f>'Scaled 2012-13 Data'!$C13</f>
        <v>1673.2667281691656</v>
      </c>
      <c r="E14" s="56">
        <f>'Scaled 2013-14 Data'!$C13</f>
        <v>1689.9497835748762</v>
      </c>
      <c r="F14" s="56">
        <f>'Scaled 2014-15 Data'!$C13</f>
        <v>1717.5454206810266</v>
      </c>
      <c r="G14" s="56">
        <f>'Scaled 2015-16 Data'!$C13</f>
        <v>1795.3310209191334</v>
      </c>
      <c r="H14" s="56">
        <f>'Scaled 2016-17 Data'!$C13</f>
        <v>1839.4830985948263</v>
      </c>
      <c r="I14" s="167">
        <f>'Scaled 2017-18 Data'!$C13</f>
        <v>1833.3744404376243</v>
      </c>
      <c r="J14" s="167">
        <f t="shared" ca="1" si="0"/>
        <v>1913.6282660995003</v>
      </c>
      <c r="K14" s="167">
        <f t="shared" ca="1" si="0"/>
        <v>1985.3687246565471</v>
      </c>
      <c r="L14" s="167">
        <f t="shared" ca="1" si="0"/>
        <v>2045.3550948616721</v>
      </c>
      <c r="M14" s="167">
        <f t="shared" ca="1" si="0"/>
        <v>2085.8558928291304</v>
      </c>
      <c r="N14" s="167">
        <f t="shared" ca="1" si="0"/>
        <v>2118.9048467088687</v>
      </c>
      <c r="O14" s="167">
        <f t="shared" ca="1" si="0"/>
        <v>2150.0272969360276</v>
      </c>
      <c r="P14" s="167">
        <f t="shared" ca="1" si="0"/>
        <v>2175.7337556750308</v>
      </c>
      <c r="Q14" s="198">
        <f t="shared" ca="1" si="0"/>
        <v>2196.6862074576816</v>
      </c>
      <c r="R14" s="56"/>
      <c r="S14" s="24" t="s">
        <v>7</v>
      </c>
      <c r="T14" s="55">
        <f>D56+'Vehicle Share Diversion Support'!D73+D138</f>
        <v>1673.2667281691656</v>
      </c>
      <c r="U14" s="56">
        <f>E56+'Vehicle Share Diversion Support'!E73+E138</f>
        <v>1689.9497835748762</v>
      </c>
      <c r="V14" s="56">
        <f>F56+'Vehicle Share Diversion Support'!F73+F138</f>
        <v>1717.5454206810268</v>
      </c>
      <c r="W14" s="56">
        <f>G56+'Vehicle Share Diversion Support'!G73+G138</f>
        <v>1795.3310209191332</v>
      </c>
      <c r="X14" s="56">
        <f>H56+'Vehicle Share Diversion Support'!H73+H138</f>
        <v>1839.4830985948261</v>
      </c>
      <c r="Y14" s="57">
        <f>I56+'Vehicle Share Diversion Support'!I73+I138</f>
        <v>1833.3744404376246</v>
      </c>
      <c r="Z14" s="56"/>
    </row>
    <row r="15" spans="3:26" ht="15.5" x14ac:dyDescent="0.35">
      <c r="C15" s="24" t="s">
        <v>8</v>
      </c>
      <c r="D15" s="55">
        <f>'Scaled 2012-13 Data'!$C14</f>
        <v>2761.1490858956281</v>
      </c>
      <c r="E15" s="56">
        <f>'Scaled 2013-14 Data'!$C14</f>
        <v>2808.4980691970704</v>
      </c>
      <c r="F15" s="56">
        <f>'Scaled 2014-15 Data'!$C14</f>
        <v>3006.3253878802329</v>
      </c>
      <c r="G15" s="56">
        <f>'Scaled 2015-16 Data'!$C14</f>
        <v>2933.8412085633213</v>
      </c>
      <c r="H15" s="56">
        <f>'Scaled 2016-17 Data'!$C14</f>
        <v>2915.2258368759049</v>
      </c>
      <c r="I15" s="167">
        <f>'Scaled 2017-18 Data'!$C14</f>
        <v>3027.7308500526447</v>
      </c>
      <c r="J15" s="167">
        <f t="shared" ca="1" si="0"/>
        <v>3239.2035703524161</v>
      </c>
      <c r="K15" s="167">
        <f t="shared" ca="1" si="0"/>
        <v>3433.799383879923</v>
      </c>
      <c r="L15" s="167">
        <f t="shared" ca="1" si="0"/>
        <v>3616.9162028471551</v>
      </c>
      <c r="M15" s="167">
        <f t="shared" ca="1" si="0"/>
        <v>3771.7842243939967</v>
      </c>
      <c r="N15" s="167">
        <f t="shared" ca="1" si="0"/>
        <v>3919.8752099034209</v>
      </c>
      <c r="O15" s="167">
        <f t="shared" ca="1" si="0"/>
        <v>4068.212103116176</v>
      </c>
      <c r="P15" s="167">
        <f t="shared" ca="1" si="0"/>
        <v>4209.7026847933212</v>
      </c>
      <c r="Q15" s="198">
        <f t="shared" ca="1" si="0"/>
        <v>4344.7412711754296</v>
      </c>
      <c r="R15" s="56"/>
      <c r="S15" s="24" t="s">
        <v>8</v>
      </c>
      <c r="T15" s="55">
        <f>D57+'Vehicle Share Diversion Support'!D74+D139</f>
        <v>2761.1490858956281</v>
      </c>
      <c r="U15" s="56">
        <f>E57+'Vehicle Share Diversion Support'!E74+E139</f>
        <v>2808.4980691970704</v>
      </c>
      <c r="V15" s="56">
        <f>F57+'Vehicle Share Diversion Support'!F74+F139</f>
        <v>3006.3253878802329</v>
      </c>
      <c r="W15" s="56">
        <f>G57+'Vehicle Share Diversion Support'!G74+G139</f>
        <v>2933.8412085633213</v>
      </c>
      <c r="X15" s="56">
        <f>H57+'Vehicle Share Diversion Support'!H74+H139</f>
        <v>2915.2258368759044</v>
      </c>
      <c r="Y15" s="57">
        <f>I57+'Vehicle Share Diversion Support'!I74+I139</f>
        <v>3027.7308500526447</v>
      </c>
      <c r="Z15" s="56"/>
    </row>
    <row r="16" spans="3:26" ht="15.5" x14ac:dyDescent="0.35">
      <c r="C16" s="24" t="s">
        <v>9</v>
      </c>
      <c r="D16" s="55">
        <f>'Scaled 2012-13 Data'!$C15</f>
        <v>889.60446472660283</v>
      </c>
      <c r="E16" s="56">
        <f>'Scaled 2013-14 Data'!$C15</f>
        <v>901.79729777243256</v>
      </c>
      <c r="F16" s="56">
        <f>'Scaled 2014-15 Data'!$C15</f>
        <v>858.04498228312059</v>
      </c>
      <c r="G16" s="56">
        <f>'Scaled 2015-16 Data'!$C15</f>
        <v>1010.4984897971797</v>
      </c>
      <c r="H16" s="56">
        <f>'Scaled 2016-17 Data'!$C15</f>
        <v>1050.7576353443119</v>
      </c>
      <c r="I16" s="167">
        <f>'Scaled 2017-18 Data'!$C15</f>
        <v>1124.1591506139637</v>
      </c>
      <c r="J16" s="167">
        <f t="shared" ca="1" si="0"/>
        <v>1176.9319355175321</v>
      </c>
      <c r="K16" s="167">
        <f t="shared" ca="1" si="0"/>
        <v>1225.4594091878416</v>
      </c>
      <c r="L16" s="167">
        <f t="shared" ca="1" si="0"/>
        <v>1266.8816508683185</v>
      </c>
      <c r="M16" s="167">
        <f t="shared" ca="1" si="0"/>
        <v>1296.5457301776551</v>
      </c>
      <c r="N16" s="167">
        <f t="shared" ca="1" si="0"/>
        <v>1320.5775890681975</v>
      </c>
      <c r="O16" s="167">
        <f t="shared" ca="1" si="0"/>
        <v>1343.1161283039596</v>
      </c>
      <c r="P16" s="167">
        <f t="shared" ca="1" si="0"/>
        <v>1361.4921124214156</v>
      </c>
      <c r="Q16" s="198">
        <f t="shared" ca="1" si="0"/>
        <v>1375.7032781444939</v>
      </c>
      <c r="R16" s="56"/>
      <c r="S16" s="24" t="s">
        <v>9</v>
      </c>
      <c r="T16" s="55">
        <f>D58+'Vehicle Share Diversion Support'!D75+D140</f>
        <v>889.60446472660283</v>
      </c>
      <c r="U16" s="56">
        <f>E58+'Vehicle Share Diversion Support'!E75+E140</f>
        <v>901.79729777243244</v>
      </c>
      <c r="V16" s="56">
        <f>F58+'Vehicle Share Diversion Support'!F75+F140</f>
        <v>858.04498228312059</v>
      </c>
      <c r="W16" s="56">
        <f>G58+'Vehicle Share Diversion Support'!G75+G140</f>
        <v>1010.4984897971797</v>
      </c>
      <c r="X16" s="56">
        <f>H58+'Vehicle Share Diversion Support'!H75+H140</f>
        <v>1050.7576353443119</v>
      </c>
      <c r="Y16" s="57">
        <f>I58+'Vehicle Share Diversion Support'!I75+I140</f>
        <v>1124.1591506139634</v>
      </c>
      <c r="Z16" s="56"/>
    </row>
    <row r="17" spans="3:26" ht="15.5" x14ac:dyDescent="0.35">
      <c r="C17" s="24" t="s">
        <v>10</v>
      </c>
      <c r="D17" s="55">
        <f>'Scaled 2012-13 Data'!$C16</f>
        <v>316.8010079485299</v>
      </c>
      <c r="E17" s="56">
        <f>'Scaled 2013-14 Data'!$C16</f>
        <v>315.5475661153227</v>
      </c>
      <c r="F17" s="56">
        <f>'Scaled 2014-15 Data'!$C16</f>
        <v>335.31409851827163</v>
      </c>
      <c r="G17" s="56">
        <f>'Scaled 2015-16 Data'!$C16</f>
        <v>356.54683401886132</v>
      </c>
      <c r="H17" s="56">
        <f>'Scaled 2016-17 Data'!$C16</f>
        <v>366.43774871601812</v>
      </c>
      <c r="I17" s="167">
        <f>'Scaled 2017-18 Data'!$C16</f>
        <v>400.66073518180406</v>
      </c>
      <c r="J17" s="167">
        <f t="shared" ca="1" si="0"/>
        <v>406.44364795559665</v>
      </c>
      <c r="K17" s="167">
        <f t="shared" ca="1" si="0"/>
        <v>410.88137978662064</v>
      </c>
      <c r="L17" s="167">
        <f t="shared" ca="1" si="0"/>
        <v>412.59681554343143</v>
      </c>
      <c r="M17" s="167">
        <f t="shared" ca="1" si="0"/>
        <v>410.25033735842527</v>
      </c>
      <c r="N17" s="167">
        <f t="shared" ca="1" si="0"/>
        <v>406.95245726712892</v>
      </c>
      <c r="O17" s="167">
        <f t="shared" ca="1" si="0"/>
        <v>403.00537463502053</v>
      </c>
      <c r="P17" s="167">
        <f t="shared" ca="1" si="0"/>
        <v>397.78789289661955</v>
      </c>
      <c r="Q17" s="198">
        <f t="shared" ca="1" si="0"/>
        <v>391.44770874206944</v>
      </c>
      <c r="R17" s="56"/>
      <c r="S17" s="24" t="s">
        <v>10</v>
      </c>
      <c r="T17" s="55">
        <f>D59+'Vehicle Share Diversion Support'!D76+D141</f>
        <v>316.80100794852984</v>
      </c>
      <c r="U17" s="56">
        <f>E59+'Vehicle Share Diversion Support'!E76+E141</f>
        <v>315.54756611532264</v>
      </c>
      <c r="V17" s="56">
        <f>F59+'Vehicle Share Diversion Support'!F76+F141</f>
        <v>335.31409851827158</v>
      </c>
      <c r="W17" s="56">
        <f>G59+'Vehicle Share Diversion Support'!G76+G141</f>
        <v>356.54683401886132</v>
      </c>
      <c r="X17" s="56">
        <f>H59+'Vehicle Share Diversion Support'!H76+H141</f>
        <v>366.43774871601812</v>
      </c>
      <c r="Y17" s="57">
        <f>I59+'Vehicle Share Diversion Support'!I76+I141</f>
        <v>400.66073518180406</v>
      </c>
      <c r="Z17" s="56"/>
    </row>
    <row r="18" spans="3:26" ht="15.5" x14ac:dyDescent="0.35">
      <c r="C18" s="24" t="s">
        <v>11</v>
      </c>
      <c r="D18" s="55">
        <f>'Scaled 2012-13 Data'!$C17</f>
        <v>3934.2711971024746</v>
      </c>
      <c r="E18" s="56">
        <f>'Scaled 2013-14 Data'!$C17</f>
        <v>4098.875929506934</v>
      </c>
      <c r="F18" s="56">
        <f>'Scaled 2014-15 Data'!$C17</f>
        <v>4267.8352747887011</v>
      </c>
      <c r="G18" s="56">
        <f>'Scaled 2015-16 Data'!$C17</f>
        <v>4520.1290565498166</v>
      </c>
      <c r="H18" s="56">
        <f>'Scaled 2016-17 Data'!$C17</f>
        <v>4571.0726138429181</v>
      </c>
      <c r="I18" s="167">
        <f>'Scaled 2017-18 Data'!$C17</f>
        <v>4823.9486231007304</v>
      </c>
      <c r="J18" s="167">
        <f t="shared" ca="1" si="0"/>
        <v>5285.0958413669541</v>
      </c>
      <c r="K18" s="167">
        <f t="shared" ca="1" si="0"/>
        <v>5694.1282021650186</v>
      </c>
      <c r="L18" s="167">
        <f t="shared" ca="1" si="0"/>
        <v>6088.2355419613114</v>
      </c>
      <c r="M18" s="167">
        <f t="shared" ca="1" si="0"/>
        <v>6447.9952487898527</v>
      </c>
      <c r="N18" s="167">
        <f t="shared" ca="1" si="0"/>
        <v>6807.5024603937327</v>
      </c>
      <c r="O18" s="167">
        <f t="shared" ca="1" si="0"/>
        <v>7181.1257507394657</v>
      </c>
      <c r="P18" s="167">
        <f t="shared" ca="1" si="0"/>
        <v>7549.911063685593</v>
      </c>
      <c r="Q18" s="198">
        <f t="shared" ca="1" si="0"/>
        <v>7911.4300917160235</v>
      </c>
      <c r="R18" s="56"/>
      <c r="S18" s="24" t="s">
        <v>11</v>
      </c>
      <c r="T18" s="55">
        <f>D60+'Vehicle Share Diversion Support'!D77+D142</f>
        <v>3934.2711971024751</v>
      </c>
      <c r="U18" s="56">
        <f>E60+'Vehicle Share Diversion Support'!E77+E142</f>
        <v>4098.8759295069349</v>
      </c>
      <c r="V18" s="56">
        <f>F60+'Vehicle Share Diversion Support'!F77+F142</f>
        <v>4267.8352747887011</v>
      </c>
      <c r="W18" s="56">
        <f>G60+'Vehicle Share Diversion Support'!G77+G142</f>
        <v>4520.1290565498166</v>
      </c>
      <c r="X18" s="56">
        <f>H60+'Vehicle Share Diversion Support'!H77+H142</f>
        <v>4571.0726138429181</v>
      </c>
      <c r="Y18" s="57">
        <f>I60+'Vehicle Share Diversion Support'!I77+I142</f>
        <v>4823.9486231007295</v>
      </c>
      <c r="Z18" s="56"/>
    </row>
    <row r="19" spans="3:26" ht="15.5" x14ac:dyDescent="0.35">
      <c r="C19" s="24" t="s">
        <v>12</v>
      </c>
      <c r="D19" s="55">
        <f>'Scaled 2012-13 Data'!$C18</f>
        <v>1566.8697167848779</v>
      </c>
      <c r="E19" s="56">
        <f>'Scaled 2013-14 Data'!$C18</f>
        <v>1618.0488514333024</v>
      </c>
      <c r="F19" s="56">
        <f>'Scaled 2014-15 Data'!$C18</f>
        <v>1662.3212104101217</v>
      </c>
      <c r="G19" s="56">
        <f>'Scaled 2015-16 Data'!$C18</f>
        <v>1730.9344738287209</v>
      </c>
      <c r="H19" s="56">
        <f>'Scaled 2016-17 Data'!$C18</f>
        <v>1815.9593180970548</v>
      </c>
      <c r="I19" s="167">
        <f>'Scaled 2017-18 Data'!$C18</f>
        <v>1986.6284529219033</v>
      </c>
      <c r="J19" s="167">
        <f t="shared" ca="1" si="0"/>
        <v>2169.0310138338446</v>
      </c>
      <c r="K19" s="167">
        <f t="shared" ca="1" si="0"/>
        <v>2324.0013881202485</v>
      </c>
      <c r="L19" s="167">
        <f t="shared" ca="1" si="0"/>
        <v>2471.9237974829857</v>
      </c>
      <c r="M19" s="167">
        <f t="shared" ca="1" si="0"/>
        <v>2603.0220245833361</v>
      </c>
      <c r="N19" s="167">
        <f t="shared" ca="1" si="0"/>
        <v>2733.0217326383113</v>
      </c>
      <c r="O19" s="167">
        <f t="shared" ca="1" si="0"/>
        <v>2865.6580832196651</v>
      </c>
      <c r="P19" s="167">
        <f t="shared" ca="1" si="0"/>
        <v>2994.6704132384557</v>
      </c>
      <c r="Q19" s="198">
        <f t="shared" ca="1" si="0"/>
        <v>3119.3620649831983</v>
      </c>
      <c r="R19" s="56"/>
      <c r="S19" s="24" t="s">
        <v>12</v>
      </c>
      <c r="T19" s="55">
        <f>D61+'Vehicle Share Diversion Support'!D78+D143</f>
        <v>1566.8697167848777</v>
      </c>
      <c r="U19" s="56">
        <f>E61+'Vehicle Share Diversion Support'!E78+E143</f>
        <v>1618.0488514333022</v>
      </c>
      <c r="V19" s="56">
        <f>F61+'Vehicle Share Diversion Support'!F78+F143</f>
        <v>1662.3212104101215</v>
      </c>
      <c r="W19" s="56">
        <f>G61+'Vehicle Share Diversion Support'!G78+G143</f>
        <v>1730.9344738287209</v>
      </c>
      <c r="X19" s="56">
        <f>H61+'Vehicle Share Diversion Support'!H78+H143</f>
        <v>1815.9593180970548</v>
      </c>
      <c r="Y19" s="57">
        <f>I61+'Vehicle Share Diversion Support'!I78+I143</f>
        <v>1986.6284529219038</v>
      </c>
      <c r="Z19" s="56"/>
    </row>
    <row r="20" spans="3:26" ht="16" thickBot="1" x14ac:dyDescent="0.4">
      <c r="C20" s="25" t="s">
        <v>13</v>
      </c>
      <c r="D20" s="58">
        <f>'Scaled 2012-13 Data'!$C19</f>
        <v>741.20365373043114</v>
      </c>
      <c r="E20" s="59">
        <f>'Scaled 2013-14 Data'!$C19</f>
        <v>753.77982188506166</v>
      </c>
      <c r="F20" s="59">
        <f>'Scaled 2014-15 Data'!$C19</f>
        <v>721.93474035273982</v>
      </c>
      <c r="G20" s="59">
        <f>'Scaled 2015-16 Data'!$C19</f>
        <v>809.11213135513538</v>
      </c>
      <c r="H20" s="59">
        <f>'Scaled 2016-17 Data'!$C19</f>
        <v>824.69733495133607</v>
      </c>
      <c r="I20" s="171">
        <f>'Scaled 2017-18 Data'!$C19</f>
        <v>840.68267202691015</v>
      </c>
      <c r="J20" s="171">
        <f t="shared" ca="1" si="0"/>
        <v>859.09059973258604</v>
      </c>
      <c r="K20" s="171">
        <f t="shared" ca="1" si="0"/>
        <v>876.94427191116858</v>
      </c>
      <c r="L20" s="171">
        <f t="shared" ca="1" si="0"/>
        <v>890.3618549214483</v>
      </c>
      <c r="M20" s="171">
        <f t="shared" ca="1" si="0"/>
        <v>895.3405879542463</v>
      </c>
      <c r="N20" s="171">
        <f t="shared" ca="1" si="0"/>
        <v>897.63094742795465</v>
      </c>
      <c r="O20" s="171">
        <f t="shared" ca="1" si="0"/>
        <v>898.42561843093097</v>
      </c>
      <c r="P20" s="171">
        <f t="shared" ca="1" si="0"/>
        <v>896.29669823870415</v>
      </c>
      <c r="Q20" s="199">
        <f t="shared" ca="1" si="0"/>
        <v>891.56511808012692</v>
      </c>
      <c r="R20" s="56"/>
      <c r="S20" s="25" t="s">
        <v>13</v>
      </c>
      <c r="T20" s="58">
        <f>D62+'Vehicle Share Diversion Support'!D79+D144</f>
        <v>741.20365373043091</v>
      </c>
      <c r="U20" s="59">
        <f>E62+'Vehicle Share Diversion Support'!E79+E144</f>
        <v>753.77982188506166</v>
      </c>
      <c r="V20" s="59">
        <f>F62+'Vehicle Share Diversion Support'!F79+F144</f>
        <v>721.93474035273982</v>
      </c>
      <c r="W20" s="59">
        <f>G62+'Vehicle Share Diversion Support'!G79+G144</f>
        <v>809.11213135513538</v>
      </c>
      <c r="X20" s="59">
        <f>H62+'Vehicle Share Diversion Support'!H79+H144</f>
        <v>824.69733495133607</v>
      </c>
      <c r="Y20" s="60">
        <f>I62+'Vehicle Share Diversion Support'!I79+I144</f>
        <v>840.68267202691004</v>
      </c>
      <c r="Z20" s="56"/>
    </row>
    <row r="21" spans="3:26" ht="32" thickTop="1" thickBot="1" x14ac:dyDescent="0.4">
      <c r="C21" s="31" t="s">
        <v>24</v>
      </c>
      <c r="D21" s="61">
        <f>SUM(D7:D20)</f>
        <v>30876.507147523433</v>
      </c>
      <c r="E21" s="62">
        <f t="shared" ref="E21:N21" si="1">SUM(E7:E20)</f>
        <v>31365.866909282631</v>
      </c>
      <c r="F21" s="62">
        <f t="shared" si="1"/>
        <v>32148.528181102916</v>
      </c>
      <c r="G21" s="62">
        <f t="shared" si="1"/>
        <v>33342.326549199053</v>
      </c>
      <c r="H21" s="62">
        <f t="shared" si="1"/>
        <v>34450.358212544888</v>
      </c>
      <c r="I21" s="62">
        <f t="shared" si="1"/>
        <v>35474.142308605471</v>
      </c>
      <c r="J21" s="62">
        <f t="shared" ca="1" si="1"/>
        <v>38065.370626214135</v>
      </c>
      <c r="K21" s="62">
        <f t="shared" ca="1" si="1"/>
        <v>40372.284788277786</v>
      </c>
      <c r="L21" s="62">
        <f t="shared" ca="1" si="1"/>
        <v>42584.265619933016</v>
      </c>
      <c r="M21" s="62">
        <f t="shared" ca="1" si="1"/>
        <v>44482.754825278484</v>
      </c>
      <c r="N21" s="62">
        <f t="shared" ca="1" si="1"/>
        <v>46324.739522458527</v>
      </c>
      <c r="O21" s="62">
        <f t="shared" ref="O21:Q21" ca="1" si="2">SUM(O7:O20)</f>
        <v>48187.224643111127</v>
      </c>
      <c r="P21" s="62">
        <f t="shared" ca="1" si="2"/>
        <v>49975.852951178655</v>
      </c>
      <c r="Q21" s="63">
        <f t="shared" ca="1" si="2"/>
        <v>51683.267372968789</v>
      </c>
      <c r="R21" s="56"/>
      <c r="S21" s="31" t="s">
        <v>24</v>
      </c>
      <c r="T21" s="61">
        <f>SUM(T7:T20)</f>
        <v>30876.507147523433</v>
      </c>
      <c r="U21" s="62">
        <f>SUM(U7:U20)</f>
        <v>31365.866909282631</v>
      </c>
      <c r="V21" s="62">
        <f>SUM(V7:V20)</f>
        <v>32148.528181102916</v>
      </c>
      <c r="W21" s="62">
        <f t="shared" ref="W21:X21" si="3">SUM(W7:W20)</f>
        <v>33342.326549199053</v>
      </c>
      <c r="X21" s="62">
        <f t="shared" si="3"/>
        <v>34450.358212544881</v>
      </c>
      <c r="Y21" s="63">
        <f t="shared" ref="Y21" si="4">SUM(Y7:Y20)</f>
        <v>35474.142308605471</v>
      </c>
      <c r="Z21" s="56"/>
    </row>
    <row r="22" spans="3:26" ht="16.5" thickTop="1" thickBot="1" x14ac:dyDescent="0.4">
      <c r="C22" s="31" t="s">
        <v>96</v>
      </c>
      <c r="D22" s="61">
        <f>'Scaled 2012-13 Data'!$C21</f>
        <v>30876.507147523433</v>
      </c>
      <c r="E22" s="62">
        <f>'Scaled 2013-14 Data'!$C21</f>
        <v>31365.866909282631</v>
      </c>
      <c r="F22" s="62">
        <f>'Scaled 2014-15 Data'!$C21</f>
        <v>32148.528181102916</v>
      </c>
      <c r="G22" s="62">
        <f>'Scaled 2015-16 Data'!$C21</f>
        <v>33342.326549199053</v>
      </c>
      <c r="H22" s="62">
        <f>'Scaled 2016-17 Data'!$C21</f>
        <v>34450.358212544888</v>
      </c>
      <c r="I22" s="62">
        <f>'Scaled 2017-18 Data'!$C21</f>
        <v>35474.142308605471</v>
      </c>
      <c r="J22" s="62"/>
      <c r="K22" s="62"/>
      <c r="L22" s="62"/>
      <c r="M22" s="62"/>
      <c r="N22" s="62"/>
      <c r="O22" s="62"/>
      <c r="P22" s="62"/>
      <c r="Q22" s="63"/>
      <c r="R22" s="56"/>
      <c r="S22" s="130"/>
      <c r="T22" s="129"/>
      <c r="U22" s="129"/>
      <c r="V22" s="129"/>
    </row>
    <row r="23" spans="3:26" ht="13" thickTop="1" x14ac:dyDescent="0.25"/>
    <row r="24" spans="3:26" ht="13" thickBot="1" x14ac:dyDescent="0.3"/>
    <row r="25" spans="3:26" ht="16" thickTop="1" x14ac:dyDescent="0.35">
      <c r="C25" s="32" t="s">
        <v>161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121"/>
    </row>
    <row r="26" spans="3:26" ht="13.5" thickBot="1" x14ac:dyDescent="0.35">
      <c r="C26" s="18"/>
      <c r="D26" s="65" t="s">
        <v>25</v>
      </c>
      <c r="E26" s="65" t="s">
        <v>37</v>
      </c>
      <c r="F26" s="65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  <c r="R26" s="65"/>
    </row>
    <row r="27" spans="3:26" ht="14" thickTop="1" thickBot="1" x14ac:dyDescent="0.3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  <c r="R27" s="65"/>
    </row>
    <row r="28" spans="3:26" ht="16" thickTop="1" x14ac:dyDescent="0.35">
      <c r="C28" s="24" t="s">
        <v>0</v>
      </c>
      <c r="D28" s="42">
        <f t="shared" ref="D28:Q41" si="5">D69+D110+D151</f>
        <v>91713.464893012046</v>
      </c>
      <c r="E28" s="43">
        <f t="shared" si="5"/>
        <v>93324.775598985783</v>
      </c>
      <c r="F28" s="43">
        <f t="shared" si="5"/>
        <v>94196.630460054497</v>
      </c>
      <c r="G28" s="43">
        <f t="shared" ref="G28:H28" si="6">G69+G110+G151</f>
        <v>97582.98914850055</v>
      </c>
      <c r="H28" s="43">
        <f t="shared" si="6"/>
        <v>101765.09689922327</v>
      </c>
      <c r="I28" s="43">
        <f t="shared" si="5"/>
        <v>107922.8982012593</v>
      </c>
      <c r="J28" s="43">
        <f t="shared" ca="1" si="5"/>
        <v>117031.67007529321</v>
      </c>
      <c r="K28" s="43">
        <f t="shared" ca="1" si="5"/>
        <v>117250.90979426987</v>
      </c>
      <c r="L28" s="43">
        <f t="shared" ca="1" si="5"/>
        <v>115955.21374712167</v>
      </c>
      <c r="M28" s="43">
        <f t="shared" ca="1" si="5"/>
        <v>112977.38657555151</v>
      </c>
      <c r="N28" s="43">
        <f t="shared" ca="1" si="5"/>
        <v>109359.85389434548</v>
      </c>
      <c r="O28" s="40">
        <f t="shared" ca="1" si="5"/>
        <v>103880.5368213599</v>
      </c>
      <c r="P28" s="40">
        <f t="shared" ca="1" si="5"/>
        <v>97967.301637234137</v>
      </c>
      <c r="Q28" s="41">
        <f t="shared" ca="1" si="5"/>
        <v>91697.892342155639</v>
      </c>
      <c r="R28" s="43"/>
    </row>
    <row r="29" spans="3:26" ht="15.5" x14ac:dyDescent="0.35">
      <c r="C29" s="24" t="s">
        <v>1</v>
      </c>
      <c r="D29" s="42">
        <f t="shared" ref="D29:N29" si="7">D70+D111+D152</f>
        <v>904428.99926747009</v>
      </c>
      <c r="E29" s="43">
        <f t="shared" si="7"/>
        <v>934998.19783658464</v>
      </c>
      <c r="F29" s="43">
        <f t="shared" si="7"/>
        <v>986330.2795077567</v>
      </c>
      <c r="G29" s="43">
        <f t="shared" ref="G29:H29" si="8">G70+G111+G152</f>
        <v>1028312.0528901184</v>
      </c>
      <c r="H29" s="43">
        <f t="shared" si="8"/>
        <v>1071086.7020497273</v>
      </c>
      <c r="I29" s="43">
        <f t="shared" si="7"/>
        <v>1080085.991665225</v>
      </c>
      <c r="J29" s="43">
        <f t="shared" ca="1" si="7"/>
        <v>1195343.0022568216</v>
      </c>
      <c r="K29" s="43">
        <f t="shared" ca="1" si="7"/>
        <v>1218223.0928605266</v>
      </c>
      <c r="L29" s="43">
        <f t="shared" ca="1" si="7"/>
        <v>1225941.0731693634</v>
      </c>
      <c r="M29" s="43">
        <f t="shared" ca="1" si="7"/>
        <v>1218814.7046646955</v>
      </c>
      <c r="N29" s="43">
        <f t="shared" ca="1" si="7"/>
        <v>1204911.0021164191</v>
      </c>
      <c r="O29" s="43">
        <f t="shared" ca="1" si="5"/>
        <v>1173236.4430347511</v>
      </c>
      <c r="P29" s="43">
        <f t="shared" ca="1" si="5"/>
        <v>1134661.6128132993</v>
      </c>
      <c r="Q29" s="44">
        <f t="shared" ca="1" si="5"/>
        <v>1089127.6119699744</v>
      </c>
      <c r="R29" s="43"/>
    </row>
    <row r="30" spans="3:26" ht="15.5" x14ac:dyDescent="0.35">
      <c r="C30" s="24" t="s">
        <v>2</v>
      </c>
      <c r="D30" s="42">
        <f t="shared" ref="D30:N30" si="9">D71+D112+D153</f>
        <v>253708.3905775474</v>
      </c>
      <c r="E30" s="43">
        <f t="shared" si="9"/>
        <v>262025.10431327124</v>
      </c>
      <c r="F30" s="43">
        <f t="shared" si="9"/>
        <v>269520.68950446276</v>
      </c>
      <c r="G30" s="43">
        <f t="shared" ref="G30:H30" si="10">G71+G112+G153</f>
        <v>280088.57157439587</v>
      </c>
      <c r="H30" s="43">
        <f t="shared" si="10"/>
        <v>289546.25818112877</v>
      </c>
      <c r="I30" s="43">
        <f t="shared" si="9"/>
        <v>286463.51659801038</v>
      </c>
      <c r="J30" s="43">
        <f t="shared" ca="1" si="9"/>
        <v>311998.87371411914</v>
      </c>
      <c r="K30" s="43">
        <f t="shared" ca="1" si="9"/>
        <v>316591.54363082157</v>
      </c>
      <c r="L30" s="43">
        <f t="shared" ca="1" si="9"/>
        <v>317382.78318781964</v>
      </c>
      <c r="M30" s="43">
        <f t="shared" ca="1" si="9"/>
        <v>313802.0244277115</v>
      </c>
      <c r="N30" s="43">
        <f t="shared" ca="1" si="9"/>
        <v>308947.36972719606</v>
      </c>
      <c r="O30" s="43">
        <f t="shared" ca="1" si="5"/>
        <v>299282.80615324789</v>
      </c>
      <c r="P30" s="43">
        <f t="shared" ca="1" si="5"/>
        <v>288307.63694037928</v>
      </c>
      <c r="Q30" s="44">
        <f t="shared" ca="1" si="5"/>
        <v>276191.06670010538</v>
      </c>
      <c r="R30" s="43"/>
    </row>
    <row r="31" spans="3:26" ht="15.5" x14ac:dyDescent="0.35">
      <c r="C31" s="24" t="s">
        <v>3</v>
      </c>
      <c r="D31" s="42">
        <f t="shared" ref="D31:N31" si="11">D72+D113+D154</f>
        <v>190716.64542557212</v>
      </c>
      <c r="E31" s="43">
        <f t="shared" si="11"/>
        <v>194770.81563154369</v>
      </c>
      <c r="F31" s="43">
        <f t="shared" si="11"/>
        <v>198973.04140943356</v>
      </c>
      <c r="G31" s="43">
        <f t="shared" ref="G31:H31" si="12">G72+G113+G154</f>
        <v>207260.68245067552</v>
      </c>
      <c r="H31" s="43">
        <f t="shared" si="12"/>
        <v>215852.6760991</v>
      </c>
      <c r="I31" s="43">
        <f t="shared" si="11"/>
        <v>220052.754670497</v>
      </c>
      <c r="J31" s="43">
        <f t="shared" ca="1" si="11"/>
        <v>237752.50709255901</v>
      </c>
      <c r="K31" s="43">
        <f t="shared" ca="1" si="11"/>
        <v>238124.84736311354</v>
      </c>
      <c r="L31" s="43">
        <f t="shared" ca="1" si="11"/>
        <v>235637.87527276829</v>
      </c>
      <c r="M31" s="43">
        <f t="shared" ca="1" si="11"/>
        <v>230069.51926596955</v>
      </c>
      <c r="N31" s="43">
        <f t="shared" ca="1" si="11"/>
        <v>223561.58344132337</v>
      </c>
      <c r="O31" s="43">
        <f t="shared" ca="1" si="5"/>
        <v>212752.34071802319</v>
      </c>
      <c r="P31" s="43">
        <f t="shared" ca="1" si="5"/>
        <v>201086.23163067934</v>
      </c>
      <c r="Q31" s="44">
        <f t="shared" ca="1" si="5"/>
        <v>188728.04869172364</v>
      </c>
      <c r="R31" s="43"/>
    </row>
    <row r="32" spans="3:26" ht="15.5" x14ac:dyDescent="0.35">
      <c r="C32" s="24" t="s">
        <v>4</v>
      </c>
      <c r="D32" s="42">
        <f t="shared" ref="D32:N32" si="13">D73+D114+D155</f>
        <v>23126.668107763591</v>
      </c>
      <c r="E32" s="43">
        <f t="shared" si="13"/>
        <v>23217.431891646927</v>
      </c>
      <c r="F32" s="43">
        <f t="shared" si="13"/>
        <v>23405.72539442877</v>
      </c>
      <c r="G32" s="43">
        <f t="shared" ref="G32:H32" si="14">G73+G114+G155</f>
        <v>23624.265187643876</v>
      </c>
      <c r="H32" s="43">
        <f t="shared" si="14"/>
        <v>24065.902415665314</v>
      </c>
      <c r="I32" s="43">
        <f t="shared" si="13"/>
        <v>23418.719311180528</v>
      </c>
      <c r="J32" s="43">
        <f t="shared" ca="1" si="13"/>
        <v>24476.177703268328</v>
      </c>
      <c r="K32" s="43">
        <f t="shared" ca="1" si="13"/>
        <v>24030.607173539622</v>
      </c>
      <c r="L32" s="43">
        <f t="shared" ca="1" si="13"/>
        <v>23167.22661419629</v>
      </c>
      <c r="M32" s="43">
        <f t="shared" ca="1" si="13"/>
        <v>22001.191463372223</v>
      </c>
      <c r="N32" s="43">
        <f t="shared" ca="1" si="13"/>
        <v>20752.69982383294</v>
      </c>
      <c r="O32" s="43">
        <f t="shared" ca="1" si="5"/>
        <v>19042.076685136748</v>
      </c>
      <c r="P32" s="43">
        <f t="shared" ca="1" si="5"/>
        <v>17308.903630817844</v>
      </c>
      <c r="Q32" s="44">
        <f t="shared" ca="1" si="5"/>
        <v>15573.727346765492</v>
      </c>
      <c r="R32" s="43"/>
    </row>
    <row r="33" spans="3:24" ht="15.5" x14ac:dyDescent="0.35">
      <c r="C33" s="24" t="s">
        <v>5</v>
      </c>
      <c r="D33" s="42">
        <f t="shared" ref="D33:N33" si="15">D74+D115+D156</f>
        <v>93758.713320707408</v>
      </c>
      <c r="E33" s="43">
        <f t="shared" si="15"/>
        <v>95008.64386366964</v>
      </c>
      <c r="F33" s="43">
        <f t="shared" si="15"/>
        <v>96473.817627271928</v>
      </c>
      <c r="G33" s="43">
        <f t="shared" ref="G33:H33" si="16">G74+G115+G156</f>
        <v>99724.412551312154</v>
      </c>
      <c r="H33" s="43">
        <f t="shared" si="16"/>
        <v>103573.47825243467</v>
      </c>
      <c r="I33" s="43">
        <f t="shared" si="15"/>
        <v>102245.96685630766</v>
      </c>
      <c r="J33" s="43">
        <f t="shared" ca="1" si="15"/>
        <v>110092.97896535617</v>
      </c>
      <c r="K33" s="43">
        <f t="shared" ca="1" si="15"/>
        <v>109528.15058722165</v>
      </c>
      <c r="L33" s="43">
        <f t="shared" ca="1" si="15"/>
        <v>107837.50677735911</v>
      </c>
      <c r="M33" s="43">
        <f t="shared" ca="1" si="15"/>
        <v>104754.53249590719</v>
      </c>
      <c r="N33" s="43">
        <f t="shared" ca="1" si="15"/>
        <v>101293.46304098646</v>
      </c>
      <c r="O33" s="43">
        <f t="shared" ca="1" si="5"/>
        <v>96269.324424903476</v>
      </c>
      <c r="P33" s="43">
        <f t="shared" ca="1" si="5"/>
        <v>90883.847221352218</v>
      </c>
      <c r="Q33" s="44">
        <f t="shared" ca="1" si="5"/>
        <v>85193.951853597318</v>
      </c>
      <c r="R33" s="43"/>
    </row>
    <row r="34" spans="3:24" ht="15.5" x14ac:dyDescent="0.35">
      <c r="C34" s="24" t="s">
        <v>6</v>
      </c>
      <c r="D34" s="42">
        <f t="shared" ref="D34:N34" si="17">D75+D116+D157</f>
        <v>69451.525688855065</v>
      </c>
      <c r="E34" s="43">
        <f t="shared" si="17"/>
        <v>71248.74605249372</v>
      </c>
      <c r="F34" s="43">
        <f t="shared" si="17"/>
        <v>72111.388099147982</v>
      </c>
      <c r="G34" s="43">
        <f t="shared" ref="G34:H34" si="18">G75+G116+G157</f>
        <v>73341.929510876929</v>
      </c>
      <c r="H34" s="43">
        <f t="shared" si="18"/>
        <v>74622.465096603424</v>
      </c>
      <c r="I34" s="43">
        <f t="shared" si="17"/>
        <v>75955.41139060563</v>
      </c>
      <c r="J34" s="43">
        <f t="shared" ca="1" si="17"/>
        <v>82665.286937784927</v>
      </c>
      <c r="K34" s="43">
        <f t="shared" ca="1" si="17"/>
        <v>82266.641325886681</v>
      </c>
      <c r="L34" s="43">
        <f t="shared" ca="1" si="17"/>
        <v>80437.436781314202</v>
      </c>
      <c r="M34" s="43">
        <f t="shared" ca="1" si="17"/>
        <v>77794.615291571827</v>
      </c>
      <c r="N34" s="43">
        <f t="shared" ca="1" si="17"/>
        <v>74702.392401081161</v>
      </c>
      <c r="O34" s="43">
        <f t="shared" ca="1" si="5"/>
        <v>70144.051224262192</v>
      </c>
      <c r="P34" s="43">
        <f t="shared" ca="1" si="5"/>
        <v>65188.235909610667</v>
      </c>
      <c r="Q34" s="44">
        <f t="shared" ca="1" si="5"/>
        <v>59885.215648634032</v>
      </c>
      <c r="R34" s="43"/>
    </row>
    <row r="35" spans="3:24" ht="15.5" x14ac:dyDescent="0.35">
      <c r="C35" s="24" t="s">
        <v>7</v>
      </c>
      <c r="D35" s="42">
        <f t="shared" ref="D35:N35" si="19">D76+D117+D158</f>
        <v>139274.67627156415</v>
      </c>
      <c r="E35" s="43">
        <f t="shared" si="19"/>
        <v>141034.7020355569</v>
      </c>
      <c r="F35" s="43">
        <f t="shared" si="19"/>
        <v>144001.33297474484</v>
      </c>
      <c r="G35" s="43">
        <f t="shared" ref="G35:H35" si="20">G76+G117+G158</f>
        <v>147754.97087728701</v>
      </c>
      <c r="H35" s="43">
        <f t="shared" si="20"/>
        <v>151839.60183523435</v>
      </c>
      <c r="I35" s="43">
        <f t="shared" si="19"/>
        <v>150882.04593994483</v>
      </c>
      <c r="J35" s="43">
        <f t="shared" ca="1" si="19"/>
        <v>160054.50275659209</v>
      </c>
      <c r="K35" s="43">
        <f t="shared" ca="1" si="19"/>
        <v>156708.99257167292</v>
      </c>
      <c r="L35" s="43">
        <f t="shared" ca="1" si="19"/>
        <v>151971.07842767687</v>
      </c>
      <c r="M35" s="43">
        <f t="shared" ca="1" si="19"/>
        <v>145088.67014035097</v>
      </c>
      <c r="N35" s="43">
        <f t="shared" ca="1" si="19"/>
        <v>137775.80304994172</v>
      </c>
      <c r="O35" s="43">
        <f t="shared" ca="1" si="5"/>
        <v>128298.45705223511</v>
      </c>
      <c r="P35" s="43">
        <f t="shared" ca="1" si="5"/>
        <v>118503.37568129227</v>
      </c>
      <c r="Q35" s="44">
        <f t="shared" ca="1" si="5"/>
        <v>108498.3547521272</v>
      </c>
      <c r="R35" s="43"/>
    </row>
    <row r="36" spans="3:24" ht="15.5" x14ac:dyDescent="0.35">
      <c r="C36" s="24" t="s">
        <v>8</v>
      </c>
      <c r="D36" s="42">
        <f t="shared" ref="D36:N36" si="21">D77+D118+D159</f>
        <v>269941.21123099572</v>
      </c>
      <c r="E36" s="43">
        <f t="shared" si="21"/>
        <v>274377.7074276206</v>
      </c>
      <c r="F36" s="43">
        <f t="shared" si="21"/>
        <v>280350.76942295092</v>
      </c>
      <c r="G36" s="43">
        <f t="shared" ref="G36:H36" si="22">G77+G118+G159</f>
        <v>288125.52365635848</v>
      </c>
      <c r="H36" s="43">
        <f t="shared" si="22"/>
        <v>296978.62028349703</v>
      </c>
      <c r="I36" s="43">
        <f t="shared" si="21"/>
        <v>302317.70174917474</v>
      </c>
      <c r="J36" s="43">
        <f t="shared" ca="1" si="21"/>
        <v>328500.28969115298</v>
      </c>
      <c r="K36" s="43">
        <f t="shared" ca="1" si="21"/>
        <v>329447.34143060027</v>
      </c>
      <c r="L36" s="43">
        <f t="shared" ca="1" si="21"/>
        <v>325378.53762264317</v>
      </c>
      <c r="M36" s="43">
        <f t="shared" ca="1" si="21"/>
        <v>318059.44759651762</v>
      </c>
      <c r="N36" s="43">
        <f t="shared" ca="1" si="21"/>
        <v>309047.73503356084</v>
      </c>
      <c r="O36" s="43">
        <f t="shared" ca="1" si="5"/>
        <v>295031.4783240984</v>
      </c>
      <c r="P36" s="43">
        <f t="shared" ca="1" si="5"/>
        <v>279448.04400204087</v>
      </c>
      <c r="Q36" s="44">
        <f t="shared" ca="1" si="5"/>
        <v>262456.55014653411</v>
      </c>
      <c r="R36" s="43"/>
    </row>
    <row r="37" spans="3:24" ht="15.5" x14ac:dyDescent="0.35">
      <c r="C37" s="24" t="s">
        <v>9</v>
      </c>
      <c r="D37" s="42">
        <f t="shared" ref="D37:N37" si="23">D78+D119+D160</f>
        <v>98291.042849623642</v>
      </c>
      <c r="E37" s="43">
        <f t="shared" si="23"/>
        <v>100904.43973250425</v>
      </c>
      <c r="F37" s="43">
        <f t="shared" si="23"/>
        <v>104343.71158157702</v>
      </c>
      <c r="G37" s="43">
        <f t="shared" ref="G37:H37" si="24">G78+G119+G160</f>
        <v>111405.17112887486</v>
      </c>
      <c r="H37" s="43">
        <f t="shared" si="24"/>
        <v>118346.59763067833</v>
      </c>
      <c r="I37" s="43">
        <f t="shared" si="23"/>
        <v>123158.98962928694</v>
      </c>
      <c r="J37" s="43">
        <f t="shared" ca="1" si="23"/>
        <v>130990.14584845415</v>
      </c>
      <c r="K37" s="43">
        <f t="shared" ca="1" si="23"/>
        <v>129587.9913175089</v>
      </c>
      <c r="L37" s="43">
        <f t="shared" ca="1" si="23"/>
        <v>126191.75716061195</v>
      </c>
      <c r="M37" s="43">
        <f t="shared" ca="1" si="23"/>
        <v>120932.8564632777</v>
      </c>
      <c r="N37" s="43">
        <f t="shared" ca="1" si="23"/>
        <v>115421.86782635331</v>
      </c>
      <c r="O37" s="43">
        <f t="shared" ca="1" si="5"/>
        <v>108614.94588629939</v>
      </c>
      <c r="P37" s="43">
        <f t="shared" ca="1" si="5"/>
        <v>101524.50060918987</v>
      </c>
      <c r="Q37" s="44">
        <f t="shared" ca="1" si="5"/>
        <v>94220.767740091134</v>
      </c>
      <c r="R37" s="43"/>
    </row>
    <row r="38" spans="3:24" ht="15.5" x14ac:dyDescent="0.35">
      <c r="C38" s="24" t="s">
        <v>10</v>
      </c>
      <c r="D38" s="42">
        <f t="shared" ref="D38:N38" si="25">D79+D120+D161</f>
        <v>20211.486758786436</v>
      </c>
      <c r="E38" s="43">
        <f t="shared" si="25"/>
        <v>20308.839683256312</v>
      </c>
      <c r="F38" s="43">
        <f t="shared" si="25"/>
        <v>20099.976351351324</v>
      </c>
      <c r="G38" s="43">
        <f t="shared" ref="G38:H38" si="26">G79+G120+G161</f>
        <v>20038.230111005221</v>
      </c>
      <c r="H38" s="43">
        <f t="shared" si="26"/>
        <v>20011.282625412703</v>
      </c>
      <c r="I38" s="43">
        <f t="shared" si="25"/>
        <v>20221.208179804977</v>
      </c>
      <c r="J38" s="43">
        <f t="shared" ca="1" si="25"/>
        <v>20604.654842923232</v>
      </c>
      <c r="K38" s="43">
        <f t="shared" ca="1" si="25"/>
        <v>19852.719389135091</v>
      </c>
      <c r="L38" s="43">
        <f t="shared" ca="1" si="25"/>
        <v>18609.187396630641</v>
      </c>
      <c r="M38" s="43">
        <f t="shared" ca="1" si="25"/>
        <v>17444.089285135597</v>
      </c>
      <c r="N38" s="43">
        <f t="shared" ca="1" si="25"/>
        <v>16304.979427897091</v>
      </c>
      <c r="O38" s="43">
        <f t="shared" ca="1" si="5"/>
        <v>14969.9232847157</v>
      </c>
      <c r="P38" s="43">
        <f t="shared" ca="1" si="5"/>
        <v>13651.515071683756</v>
      </c>
      <c r="Q38" s="44">
        <f t="shared" ca="1" si="5"/>
        <v>12362.655192078846</v>
      </c>
      <c r="R38" s="43"/>
    </row>
    <row r="39" spans="3:24" ht="15.5" x14ac:dyDescent="0.35">
      <c r="C39" s="24" t="s">
        <v>11</v>
      </c>
      <c r="D39" s="42">
        <f t="shared" ref="D39:N39" si="27">D80+D121+D162</f>
        <v>417220.54449135647</v>
      </c>
      <c r="E39" s="43">
        <f t="shared" si="27"/>
        <v>427716.07596900687</v>
      </c>
      <c r="F39" s="43">
        <f t="shared" si="27"/>
        <v>442383.78577375499</v>
      </c>
      <c r="G39" s="43">
        <f t="shared" ref="G39:H39" si="28">G80+G121+G162</f>
        <v>456210.64611427183</v>
      </c>
      <c r="H39" s="43">
        <f t="shared" si="28"/>
        <v>469285.89001709939</v>
      </c>
      <c r="I39" s="43">
        <f t="shared" si="27"/>
        <v>471785.06027981086</v>
      </c>
      <c r="J39" s="43">
        <f t="shared" ca="1" si="27"/>
        <v>523793.06027742359</v>
      </c>
      <c r="K39" s="43">
        <f t="shared" ca="1" si="27"/>
        <v>537575.85262705304</v>
      </c>
      <c r="L39" s="43">
        <f t="shared" ca="1" si="27"/>
        <v>544037.83073181333</v>
      </c>
      <c r="M39" s="43">
        <f t="shared" ca="1" si="27"/>
        <v>543601.31447874219</v>
      </c>
      <c r="N39" s="43">
        <f t="shared" ca="1" si="27"/>
        <v>540327.5742330522</v>
      </c>
      <c r="O39" s="43">
        <f t="shared" ca="1" si="5"/>
        <v>529315.47118184692</v>
      </c>
      <c r="P39" s="43">
        <f t="shared" ca="1" si="5"/>
        <v>515425.44065560878</v>
      </c>
      <c r="Q39" s="44">
        <f t="shared" ca="1" si="5"/>
        <v>498757.14617802511</v>
      </c>
      <c r="R39" s="43"/>
    </row>
    <row r="40" spans="3:24" ht="15.5" x14ac:dyDescent="0.35">
      <c r="C40" s="24" t="s">
        <v>12</v>
      </c>
      <c r="D40" s="42">
        <f t="shared" ref="D40:N40" si="29">D81+D122+D163</f>
        <v>124054.62653750034</v>
      </c>
      <c r="E40" s="43">
        <f t="shared" si="29"/>
        <v>127353.7189360058</v>
      </c>
      <c r="F40" s="43">
        <f t="shared" si="29"/>
        <v>130398.94878520636</v>
      </c>
      <c r="G40" s="43">
        <f t="shared" ref="G40:H40" si="30">G81+G122+G163</f>
        <v>135535.7282436839</v>
      </c>
      <c r="H40" s="43">
        <f t="shared" si="30"/>
        <v>147018.86838559131</v>
      </c>
      <c r="I40" s="43">
        <f t="shared" si="29"/>
        <v>220504.86878950603</v>
      </c>
      <c r="J40" s="43">
        <f t="shared" ca="1" si="29"/>
        <v>243723.25116772886</v>
      </c>
      <c r="K40" s="43">
        <f t="shared" ca="1" si="29"/>
        <v>248032.39302141452</v>
      </c>
      <c r="L40" s="43">
        <f t="shared" ca="1" si="29"/>
        <v>248534.8074954052</v>
      </c>
      <c r="M40" s="43">
        <f t="shared" ca="1" si="29"/>
        <v>245971.35225137096</v>
      </c>
      <c r="N40" s="43">
        <f t="shared" ca="1" si="29"/>
        <v>242087.16639461188</v>
      </c>
      <c r="O40" s="43">
        <f t="shared" ca="1" si="5"/>
        <v>234515.28743511921</v>
      </c>
      <c r="P40" s="43">
        <f t="shared" ca="1" si="5"/>
        <v>225627.79293528336</v>
      </c>
      <c r="Q40" s="44">
        <f t="shared" ca="1" si="5"/>
        <v>215493.86076776532</v>
      </c>
      <c r="R40" s="43"/>
    </row>
    <row r="41" spans="3:24" ht="16" thickBot="1" x14ac:dyDescent="0.4">
      <c r="C41" s="25" t="s">
        <v>13</v>
      </c>
      <c r="D41" s="45">
        <f t="shared" ref="D41:N41" si="31">D82+D123+D164</f>
        <v>66159.004579245346</v>
      </c>
      <c r="E41" s="46">
        <f t="shared" si="31"/>
        <v>66955.801027853624</v>
      </c>
      <c r="F41" s="46">
        <f t="shared" si="31"/>
        <v>67921.903107858132</v>
      </c>
      <c r="G41" s="46">
        <f t="shared" ref="G41:H41" si="32">G82+G123+G164</f>
        <v>69656.826554995292</v>
      </c>
      <c r="H41" s="46">
        <f t="shared" si="32"/>
        <v>71140.560228604518</v>
      </c>
      <c r="I41" s="46">
        <f t="shared" si="31"/>
        <v>71214.866739385936</v>
      </c>
      <c r="J41" s="46">
        <f t="shared" ca="1" si="31"/>
        <v>73856.198348744379</v>
      </c>
      <c r="K41" s="46">
        <f t="shared" ca="1" si="31"/>
        <v>71695.82291140969</v>
      </c>
      <c r="L41" s="46">
        <f t="shared" ca="1" si="31"/>
        <v>68891.669927236944</v>
      </c>
      <c r="M41" s="46">
        <f t="shared" ca="1" si="31"/>
        <v>65290.777012308819</v>
      </c>
      <c r="N41" s="46">
        <f t="shared" ca="1" si="31"/>
        <v>61516.102304767017</v>
      </c>
      <c r="O41" s="46">
        <f t="shared" ca="1" si="5"/>
        <v>56885.604506526623</v>
      </c>
      <c r="P41" s="46">
        <f t="shared" ca="1" si="5"/>
        <v>52209.263079534547</v>
      </c>
      <c r="Q41" s="47">
        <f t="shared" ca="1" si="5"/>
        <v>47543.163854563274</v>
      </c>
      <c r="R41" s="43"/>
    </row>
    <row r="42" spans="3:24" ht="16.5" thickTop="1" thickBot="1" x14ac:dyDescent="0.4">
      <c r="C42" s="20" t="s">
        <v>24</v>
      </c>
      <c r="D42" s="48">
        <f t="shared" ref="D42:Q42" si="33">SUM(D28:D41)</f>
        <v>2762057</v>
      </c>
      <c r="E42" s="48">
        <f t="shared" si="33"/>
        <v>2833244.9999999995</v>
      </c>
      <c r="F42" s="48">
        <f t="shared" si="33"/>
        <v>2930512.0000000005</v>
      </c>
      <c r="G42" s="48">
        <f t="shared" si="33"/>
        <v>3038662</v>
      </c>
      <c r="H42" s="48">
        <f t="shared" si="33"/>
        <v>3155133.9999999995</v>
      </c>
      <c r="I42" s="48">
        <f t="shared" si="33"/>
        <v>3256229.9999999995</v>
      </c>
      <c r="J42" s="48">
        <f t="shared" ca="1" si="33"/>
        <v>3560882.5996782221</v>
      </c>
      <c r="K42" s="48">
        <f t="shared" ca="1" si="33"/>
        <v>3598916.9060041737</v>
      </c>
      <c r="L42" s="48">
        <f t="shared" ca="1" si="33"/>
        <v>3589973.9843119611</v>
      </c>
      <c r="M42" s="48">
        <f t="shared" ca="1" si="33"/>
        <v>3536602.4814124834</v>
      </c>
      <c r="N42" s="48">
        <f t="shared" ca="1" si="33"/>
        <v>3466009.5927153681</v>
      </c>
      <c r="O42" s="48">
        <f t="shared" ca="1" si="33"/>
        <v>3342238.746732526</v>
      </c>
      <c r="P42" s="48">
        <f t="shared" ca="1" si="33"/>
        <v>3201793.7018180061</v>
      </c>
      <c r="Q42" s="49">
        <f t="shared" ca="1" si="33"/>
        <v>3045730.0131841414</v>
      </c>
      <c r="R42" s="43"/>
      <c r="T42" t="s">
        <v>64</v>
      </c>
      <c r="X42" t="s">
        <v>64</v>
      </c>
    </row>
    <row r="43" spans="3:24" ht="13" thickTop="1" x14ac:dyDescent="0.25"/>
    <row r="45" spans="3:24" ht="13" thickBot="1" x14ac:dyDescent="0.3"/>
    <row r="46" spans="3:24" ht="16" thickTop="1" x14ac:dyDescent="0.35">
      <c r="C46" s="32" t="s">
        <v>58</v>
      </c>
      <c r="D46" s="33"/>
      <c r="E46" s="33"/>
      <c r="F46" s="33"/>
      <c r="G46" s="33"/>
      <c r="H46" s="33"/>
      <c r="I46" s="33"/>
      <c r="J46" s="34"/>
      <c r="K46" s="34"/>
      <c r="L46" s="34"/>
      <c r="M46" s="34"/>
      <c r="N46" s="34"/>
      <c r="O46" s="34"/>
      <c r="P46" s="34"/>
      <c r="Q46" s="35"/>
      <c r="R46" s="121"/>
    </row>
    <row r="47" spans="3:24" ht="13.5" thickBot="1" x14ac:dyDescent="0.35">
      <c r="C47" s="36"/>
      <c r="D47" s="37" t="s">
        <v>25</v>
      </c>
      <c r="E47" s="37" t="s">
        <v>37</v>
      </c>
      <c r="F47" s="37" t="s">
        <v>38</v>
      </c>
      <c r="G47" s="37" t="s">
        <v>177</v>
      </c>
      <c r="H47" s="37" t="s">
        <v>178</v>
      </c>
      <c r="I47" s="37" t="s">
        <v>26</v>
      </c>
      <c r="J47" s="37" t="s">
        <v>27</v>
      </c>
      <c r="K47" s="37" t="s">
        <v>28</v>
      </c>
      <c r="L47" s="37" t="s">
        <v>29</v>
      </c>
      <c r="M47" s="37" t="s">
        <v>30</v>
      </c>
      <c r="N47" s="37" t="s">
        <v>31</v>
      </c>
      <c r="O47" s="37" t="s">
        <v>174</v>
      </c>
      <c r="P47" s="37" t="s">
        <v>175</v>
      </c>
      <c r="Q47" s="38" t="s">
        <v>176</v>
      </c>
      <c r="R47" s="65"/>
    </row>
    <row r="48" spans="3:24" ht="14" thickTop="1" thickBot="1" x14ac:dyDescent="0.35">
      <c r="C48" s="70"/>
      <c r="D48" s="65" t="s">
        <v>39</v>
      </c>
      <c r="E48" s="65" t="s">
        <v>39</v>
      </c>
      <c r="F48" s="65" t="s">
        <v>39</v>
      </c>
      <c r="G48" s="65" t="s">
        <v>39</v>
      </c>
      <c r="H48" s="65" t="s">
        <v>39</v>
      </c>
      <c r="I48" s="65" t="s">
        <v>39</v>
      </c>
      <c r="J48" s="65" t="s">
        <v>32</v>
      </c>
      <c r="K48" s="65" t="s">
        <v>32</v>
      </c>
      <c r="L48" s="65" t="s">
        <v>32</v>
      </c>
      <c r="M48" s="65" t="s">
        <v>32</v>
      </c>
      <c r="N48" s="65" t="s">
        <v>32</v>
      </c>
      <c r="O48" s="65" t="s">
        <v>32</v>
      </c>
      <c r="P48" s="65" t="s">
        <v>32</v>
      </c>
      <c r="Q48" s="66" t="s">
        <v>32</v>
      </c>
      <c r="R48" s="65"/>
    </row>
    <row r="49" spans="3:18" ht="16" thickTop="1" x14ac:dyDescent="0.35">
      <c r="C49" s="24" t="s">
        <v>0</v>
      </c>
      <c r="D49" s="52">
        <f>D7*('[1]12_13 fleet'!$D302/'Original 2012-13 Data'!$C6)/1000000</f>
        <v>1008.4116946143531</v>
      </c>
      <c r="E49" s="53">
        <f>E7*('[2]13_14 fleet'!$D304/'Original 2013-14 Data'!$C6)/1000000</f>
        <v>1055.2873416177549</v>
      </c>
      <c r="F49" s="53">
        <f>F7*('[3]14_15 fleet'!$D304/'Original 2014-15 Data'!$C6)/1000000</f>
        <v>1087.3917419355175</v>
      </c>
      <c r="G49" s="53">
        <f>G7*('[4]15_16 fleet'!$D304/'Original 2015-16 Data'!$C6)/1000000</f>
        <v>1147.1728337050829</v>
      </c>
      <c r="H49" s="53">
        <f>H7*('[5]16_17 fleet_v2'!$D304/'Original 2016-17 Data'!$C6)/1000000</f>
        <v>1157.1124032553817</v>
      </c>
      <c r="I49" s="129">
        <f>I7*('[6]17_18 fleet_v3'!$D306/'Original 2017-18 Data'!$C6)/1000000</f>
        <v>1275.6182382218237</v>
      </c>
      <c r="J49" s="129">
        <f ca="1">$I49*('Light Vehicle Supporting Data'!J47/'Light Vehicle Supporting Data'!$I47)*IF(NOT('Household Vehicle Occupancy'!$C$2),'Household Vehicle Occupancy'!J10/'Household Vehicle Occupancy'!J31,1)</f>
        <v>1343.3971837671709</v>
      </c>
      <c r="K49" s="129">
        <f ca="1">$I49*('Light Vehicle Supporting Data'!K47/'Light Vehicle Supporting Data'!$I47)*IF(NOT('Household Vehicle Occupancy'!$C$2),'Household Vehicle Occupancy'!K10/'Household Vehicle Occupancy'!K31,1)</f>
        <v>1263.0536615544488</v>
      </c>
      <c r="L49" s="129">
        <f ca="1">$I49*('Light Vehicle Supporting Data'!L47/'Light Vehicle Supporting Data'!$I47)*IF(NOT('Household Vehicle Occupancy'!$C$2),'Household Vehicle Occupancy'!L10/'Household Vehicle Occupancy'!L31,1)</f>
        <v>1163.1607105979374</v>
      </c>
      <c r="M49" s="129">
        <f ca="1">$I49*('Light Vehicle Supporting Data'!M47/'Light Vehicle Supporting Data'!$I47)*IF(NOT('Household Vehicle Occupancy'!$C$2),'Household Vehicle Occupancy'!M10/'Household Vehicle Occupancy'!M31,1)</f>
        <v>1041.4045264759491</v>
      </c>
      <c r="N49" s="129">
        <f ca="1">$I49*('Light Vehicle Supporting Data'!N47/'Light Vehicle Supporting Data'!$I47)*IF(NOT('Household Vehicle Occupancy'!$C$2),'Household Vehicle Occupancy'!N10/'Household Vehicle Occupancy'!N31,1)</f>
        <v>907.78852833194412</v>
      </c>
      <c r="O49" s="155">
        <f ca="1">$I49*('Light Vehicle Supporting Data'!O47/'Light Vehicle Supporting Data'!$I47)*IF(NOT('Household Vehicle Occupancy'!$C$2),'Household Vehicle Occupancy'!O10/'Household Vehicle Occupancy'!O31,1)</f>
        <v>767.41802225890342</v>
      </c>
      <c r="P49" s="155">
        <f ca="1">$I49*('Light Vehicle Supporting Data'!P47/'Light Vehicle Supporting Data'!$I47)*IF(NOT('Household Vehicle Occupancy'!$C$2),'Household Vehicle Occupancy'!P10/'Household Vehicle Occupancy'!P31,1)</f>
        <v>621.07263818468368</v>
      </c>
      <c r="Q49" s="204">
        <f ca="1">$I49*('Light Vehicle Supporting Data'!Q47/'Light Vehicle Supporting Data'!$I47)*IF(NOT('Household Vehicle Occupancy'!$C$2),'Household Vehicle Occupancy'!Q10/'Household Vehicle Occupancy'!Q31,1)</f>
        <v>470.40221102672001</v>
      </c>
      <c r="R49" s="56"/>
    </row>
    <row r="50" spans="3:18" ht="15.5" x14ac:dyDescent="0.35">
      <c r="C50" s="24" t="s">
        <v>1</v>
      </c>
      <c r="D50" s="55">
        <f>D8*('[1]12_13 fleet'!$D303/'Original 2012-13 Data'!$C7)/1000000</f>
        <v>8182.5357658943531</v>
      </c>
      <c r="E50" s="56">
        <f>E8*('[2]13_14 fleet'!$D305/'Original 2013-14 Data'!$C7)/1000000</f>
        <v>8297.7380229428709</v>
      </c>
      <c r="F50" s="56">
        <f>F8*('[3]14_15 fleet'!$D305/'Original 2014-15 Data'!$C7)/1000000</f>
        <v>8499.7772286367381</v>
      </c>
      <c r="G50" s="56">
        <f>G8*('[4]15_16 fleet'!$D305/'Original 2015-16 Data'!$C7)/1000000</f>
        <v>8712.375188832948</v>
      </c>
      <c r="H50" s="56">
        <f>H8*('[5]16_17 fleet_v2'!$D305/'Original 2016-17 Data'!$C7)/1000000</f>
        <v>8775.9984688258319</v>
      </c>
      <c r="I50" s="167">
        <f>I8*('[6]17_18 fleet_v3'!$D307/'Original 2017-18 Data'!$C7)/1000000</f>
        <v>8625.6012146776447</v>
      </c>
      <c r="J50" s="167">
        <f ca="1">$I50*('Light Vehicle Supporting Data'!J48/'Light Vehicle Supporting Data'!$I48)*IF(NOT('Household Vehicle Occupancy'!$C$2),'Household Vehicle Occupancy'!J11/'Household Vehicle Occupancy'!J32,1)</f>
        <v>9160.6031722141015</v>
      </c>
      <c r="K50" s="167">
        <f ca="1">$I50*('Light Vehicle Supporting Data'!K48/'Light Vehicle Supporting Data'!$I48)*IF(NOT('Household Vehicle Occupancy'!$C$2),'Household Vehicle Occupancy'!K11/'Household Vehicle Occupancy'!K32,1)</f>
        <v>8658.5813802598714</v>
      </c>
      <c r="L50" s="167">
        <f ca="1">$I50*('Light Vehicle Supporting Data'!L48/'Light Vehicle Supporting Data'!$I48)*IF(NOT('Household Vehicle Occupancy'!$C$2),'Household Vehicle Occupancy'!L11/'Household Vehicle Occupancy'!L32,1)</f>
        <v>8077.2356300365536</v>
      </c>
      <c r="M50" s="167">
        <f ca="1">$I50*('Light Vehicle Supporting Data'!M48/'Light Vehicle Supporting Data'!$I48)*IF(NOT('Household Vehicle Occupancy'!$C$2),'Household Vehicle Occupancy'!M11/'Household Vehicle Occupancy'!M32,1)</f>
        <v>7325.9101860198034</v>
      </c>
      <c r="N50" s="167">
        <f ca="1">$I50*('Light Vehicle Supporting Data'!N48/'Light Vehicle Supporting Data'!$I48)*IF(NOT('Household Vehicle Occupancy'!$C$2),'Household Vehicle Occupancy'!N11/'Household Vehicle Occupancy'!N32,1)</f>
        <v>6475.541979020757</v>
      </c>
      <c r="O50" s="205">
        <f ca="1">$I50*('Light Vehicle Supporting Data'!O48/'Light Vehicle Supporting Data'!$I48)*IF(NOT('Household Vehicle Occupancy'!$C$2),'Household Vehicle Occupancy'!O11/'Household Vehicle Occupancy'!O32,1)</f>
        <v>5555.1843967566147</v>
      </c>
      <c r="P50" s="205">
        <f ca="1">$I50*('Light Vehicle Supporting Data'!P48/'Light Vehicle Supporting Data'!$I48)*IF(NOT('Household Vehicle Occupancy'!$C$2),'Household Vehicle Occupancy'!P11/'Household Vehicle Occupancy'!P32,1)</f>
        <v>4560.3368312374914</v>
      </c>
      <c r="Q50" s="206">
        <f ca="1">$I50*('Light Vehicle Supporting Data'!Q48/'Light Vehicle Supporting Data'!$I48)*IF(NOT('Household Vehicle Occupancy'!$C$2),'Household Vehicle Occupancy'!Q11/'Household Vehicle Occupancy'!Q32,1)</f>
        <v>3501.2462858116996</v>
      </c>
      <c r="R50" s="56"/>
    </row>
    <row r="51" spans="3:18" ht="15.5" x14ac:dyDescent="0.35">
      <c r="C51" s="24" t="s">
        <v>2</v>
      </c>
      <c r="D51" s="55">
        <f>D9*('[1]12_13 fleet'!$D304/'Original 2012-13 Data'!$C8)/1000000</f>
        <v>3287.9138995583603</v>
      </c>
      <c r="E51" s="56">
        <f>E9*('[2]13_14 fleet'!$D306/'Original 2013-14 Data'!$C8)/1000000</f>
        <v>3214.2218286383309</v>
      </c>
      <c r="F51" s="56">
        <f>F9*('[3]14_15 fleet'!$D306/'Original 2014-15 Data'!$C8)/1000000</f>
        <v>3349.1069974230099</v>
      </c>
      <c r="G51" s="56">
        <f>G9*('[4]15_16 fleet'!$D306/'Original 2015-16 Data'!$C8)/1000000</f>
        <v>3570.1730751360442</v>
      </c>
      <c r="H51" s="56">
        <f>H9*('[5]16_17 fleet_v2'!$D306/'Original 2016-17 Data'!$C8)/1000000</f>
        <v>3716.8994228739512</v>
      </c>
      <c r="I51" s="167">
        <f>I9*('[6]17_18 fleet_v3'!$D308/'Original 2017-18 Data'!$C8)/1000000</f>
        <v>3965.1256894880189</v>
      </c>
      <c r="J51" s="167">
        <f ca="1">$I51*('Light Vehicle Supporting Data'!J49/'Light Vehicle Supporting Data'!$I49)*IF(NOT('Household Vehicle Occupancy'!$C$2),'Household Vehicle Occupancy'!J12/'Household Vehicle Occupancy'!J33,1)</f>
        <v>4186.4507004842426</v>
      </c>
      <c r="K51" s="167">
        <f ca="1">$I51*('Light Vehicle Supporting Data'!K49/'Light Vehicle Supporting Data'!$I49)*IF(NOT('Household Vehicle Occupancy'!$C$2),'Household Vehicle Occupancy'!K12/'Household Vehicle Occupancy'!K33,1)</f>
        <v>3943.0201417793801</v>
      </c>
      <c r="L51" s="167">
        <f ca="1">$I51*('Light Vehicle Supporting Data'!L49/'Light Vehicle Supporting Data'!$I49)*IF(NOT('Household Vehicle Occupancy'!$C$2),'Household Vehicle Occupancy'!L12/'Household Vehicle Occupancy'!L33,1)</f>
        <v>3640.6060849639562</v>
      </c>
      <c r="M51" s="167">
        <f ca="1">$I51*('Light Vehicle Supporting Data'!M49/'Light Vehicle Supporting Data'!$I49)*IF(NOT('Household Vehicle Occupancy'!$C$2),'Household Vehicle Occupancy'!M12/'Household Vehicle Occupancy'!M33,1)</f>
        <v>3267.3684062904022</v>
      </c>
      <c r="N51" s="167">
        <f ca="1">$I51*('Light Vehicle Supporting Data'!N49/'Light Vehicle Supporting Data'!$I49)*IF(NOT('Household Vehicle Occupancy'!$C$2),'Household Vehicle Occupancy'!N12/'Household Vehicle Occupancy'!N33,1)</f>
        <v>2857.0126967968531</v>
      </c>
      <c r="O51" s="205">
        <f ca="1">$I51*('Light Vehicle Supporting Data'!O49/'Light Vehicle Supporting Data'!$I49)*IF(NOT('Household Vehicle Occupancy'!$C$2),'Household Vehicle Occupancy'!O12/'Household Vehicle Occupancy'!O33,1)</f>
        <v>2422.2137122187642</v>
      </c>
      <c r="P51" s="205">
        <f ca="1">$I51*('Light Vehicle Supporting Data'!P49/'Light Vehicle Supporting Data'!$I49)*IF(NOT('Household Vehicle Occupancy'!$C$2),'Household Vehicle Occupancy'!P12/'Household Vehicle Occupancy'!P33,1)</f>
        <v>1965.0329813967628</v>
      </c>
      <c r="Q51" s="206">
        <f ca="1">$I51*('Light Vehicle Supporting Data'!Q49/'Light Vehicle Supporting Data'!$I49)*IF(NOT('Household Vehicle Occupancy'!$C$2),'Household Vehicle Occupancy'!Q12/'Household Vehicle Occupancy'!Q33,1)</f>
        <v>1491.1905255394936</v>
      </c>
      <c r="R51" s="56"/>
    </row>
    <row r="52" spans="3:18" ht="15.5" x14ac:dyDescent="0.35">
      <c r="C52" s="24" t="s">
        <v>3</v>
      </c>
      <c r="D52" s="55">
        <f>D10*('[1]12_13 fleet'!$D305/'Original 2012-13 Data'!$C9)/1000000</f>
        <v>1612.5990218843824</v>
      </c>
      <c r="E52" s="56">
        <f>E10*('[2]13_14 fleet'!$D307/'Original 2013-14 Data'!$C9)/1000000</f>
        <v>1672.1194465593776</v>
      </c>
      <c r="F52" s="56">
        <f>F10*('[3]14_15 fleet'!$D307/'Original 2014-15 Data'!$C9)/1000000</f>
        <v>1685.2132213142795</v>
      </c>
      <c r="G52" s="56">
        <f>G10*('[4]15_16 fleet'!$D307/'Original 2015-16 Data'!$C9)/1000000</f>
        <v>1766.3552706051128</v>
      </c>
      <c r="H52" s="56">
        <f>H10*('[5]16_17 fleet_v2'!$D307/'Original 2016-17 Data'!$C9)/1000000</f>
        <v>1970.4290306303312</v>
      </c>
      <c r="I52" s="167">
        <f>I10*('[6]17_18 fleet_v3'!$D309/'Original 2017-18 Data'!$C9)/1000000</f>
        <v>1997.0467560556951</v>
      </c>
      <c r="J52" s="167">
        <f ca="1">$I52*('Light Vehicle Supporting Data'!J50/'Light Vehicle Supporting Data'!$I50)*IF(NOT('Household Vehicle Occupancy'!$C$2),'Household Vehicle Occupancy'!J13/'Household Vehicle Occupancy'!J34,1)</f>
        <v>2089.7316867895488</v>
      </c>
      <c r="K52" s="167">
        <f ca="1">$I52*('Light Vehicle Supporting Data'!K50/'Light Vehicle Supporting Data'!$I50)*IF(NOT('Household Vehicle Occupancy'!$C$2),'Household Vehicle Occupancy'!K13/'Household Vehicle Occupancy'!K34,1)</f>
        <v>1953.8255503065529</v>
      </c>
      <c r="L52" s="167">
        <f ca="1">$I52*('Light Vehicle Supporting Data'!L50/'Light Vehicle Supporting Data'!$I50)*IF(NOT('Household Vehicle Occupancy'!$C$2),'Household Vehicle Occupancy'!L13/'Household Vehicle Occupancy'!L34,1)</f>
        <v>1790.9811875714961</v>
      </c>
      <c r="M52" s="167">
        <f ca="1">$I52*('Light Vehicle Supporting Data'!M50/'Light Vehicle Supporting Data'!$I50)*IF(NOT('Household Vehicle Occupancy'!$C$2),'Household Vehicle Occupancy'!M13/'Household Vehicle Occupancy'!M34,1)</f>
        <v>1595.4228233079293</v>
      </c>
      <c r="N52" s="167">
        <f ca="1">$I52*('Light Vehicle Supporting Data'!N50/'Light Vehicle Supporting Data'!$I50)*IF(NOT('Household Vehicle Occupancy'!$C$2),'Household Vehicle Occupancy'!N13/'Household Vehicle Occupancy'!N34,1)</f>
        <v>1384.9068181613525</v>
      </c>
      <c r="O52" s="205">
        <f ca="1">$I52*('Light Vehicle Supporting Data'!O50/'Light Vehicle Supporting Data'!$I50)*IF(NOT('Household Vehicle Occupancy'!$C$2),'Household Vehicle Occupancy'!O13/'Household Vehicle Occupancy'!O34,1)</f>
        <v>1165.4764923560324</v>
      </c>
      <c r="P52" s="205">
        <f ca="1">$I52*('Light Vehicle Supporting Data'!P50/'Light Vehicle Supporting Data'!$I50)*IF(NOT('Household Vehicle Occupancy'!$C$2),'Household Vehicle Occupancy'!P13/'Household Vehicle Occupancy'!P34,1)</f>
        <v>938.468537055566</v>
      </c>
      <c r="Q52" s="206">
        <f ca="1">$I52*('Light Vehicle Supporting Data'!Q50/'Light Vehicle Supporting Data'!$I50)*IF(NOT('Household Vehicle Occupancy'!$C$2),'Household Vehicle Occupancy'!Q13/'Household Vehicle Occupancy'!Q34,1)</f>
        <v>706.83346869552497</v>
      </c>
      <c r="R52" s="56"/>
    </row>
    <row r="53" spans="3:18" ht="15.5" x14ac:dyDescent="0.35">
      <c r="C53" s="24" t="s">
        <v>4</v>
      </c>
      <c r="D53" s="55">
        <f>D11*('[1]12_13 fleet'!$D306/'Original 2012-13 Data'!$C10)/1000000</f>
        <v>212.91694462930985</v>
      </c>
      <c r="E53" s="56">
        <f>E11*('[2]13_14 fleet'!$D308/'Original 2013-14 Data'!$C10)/1000000</f>
        <v>212.46474518042089</v>
      </c>
      <c r="F53" s="56">
        <f>F11*('[3]14_15 fleet'!$D308/'Original 2014-15 Data'!$C10)/1000000</f>
        <v>221.74748647621428</v>
      </c>
      <c r="G53" s="56">
        <f>G11*('[4]15_16 fleet'!$D308/'Original 2015-16 Data'!$C10)/1000000</f>
        <v>230.65196681292349</v>
      </c>
      <c r="H53" s="56">
        <f>H11*('[5]16_17 fleet_v2'!$D308/'Original 2016-17 Data'!$C10)/1000000</f>
        <v>224.24673246990088</v>
      </c>
      <c r="I53" s="167">
        <f>I11*('[6]17_18 fleet_v3'!$D310/'Original 2017-18 Data'!$C10)/1000000</f>
        <v>228.3022976611895</v>
      </c>
      <c r="J53" s="167">
        <f ca="1">$I53*('Light Vehicle Supporting Data'!J51/'Light Vehicle Supporting Data'!$I51)*IF(NOT('Household Vehicle Occupancy'!$C$2),'Household Vehicle Occupancy'!J14/'Household Vehicle Occupancy'!J35,1)</f>
        <v>232.77226675089494</v>
      </c>
      <c r="K53" s="167">
        <f ca="1">$I53*('Light Vehicle Supporting Data'!K51/'Light Vehicle Supporting Data'!$I51)*IF(NOT('Household Vehicle Occupancy'!$C$2),'Household Vehicle Occupancy'!K14/'Household Vehicle Occupancy'!K35,1)</f>
        <v>213.24867490271419</v>
      </c>
      <c r="L53" s="167">
        <f ca="1">$I53*('Light Vehicle Supporting Data'!L51/'Light Vehicle Supporting Data'!$I51)*IF(NOT('Household Vehicle Occupancy'!$C$2),'Household Vehicle Occupancy'!L14/'Household Vehicle Occupancy'!L35,1)</f>
        <v>191.70668354629535</v>
      </c>
      <c r="M53" s="167">
        <f ca="1">$I53*('Light Vehicle Supporting Data'!M51/'Light Vehicle Supporting Data'!$I51)*IF(NOT('Household Vehicle Occupancy'!$C$2),'Household Vehicle Occupancy'!M14/'Household Vehicle Occupancy'!M35,1)</f>
        <v>167.35746852176479</v>
      </c>
      <c r="N53" s="167">
        <f ca="1">$I53*('Light Vehicle Supporting Data'!N51/'Light Vehicle Supporting Data'!$I51)*IF(NOT('Household Vehicle Occupancy'!$C$2),'Household Vehicle Occupancy'!N14/'Household Vehicle Occupancy'!N35,1)</f>
        <v>142.46784227962982</v>
      </c>
      <c r="O53" s="205">
        <f ca="1">$I53*('Light Vehicle Supporting Data'!O51/'Light Vehicle Supporting Data'!$I51)*IF(NOT('Household Vehicle Occupancy'!$C$2),'Household Vehicle Occupancy'!O14/'Household Vehicle Occupancy'!O35,1)</f>
        <v>117.67887549050828</v>
      </c>
      <c r="P53" s="205">
        <f ca="1">$I53*('Light Vehicle Supporting Data'!P51/'Light Vehicle Supporting Data'!$I51)*IF(NOT('Household Vehicle Occupancy'!$C$2),'Household Vehicle Occupancy'!P14/'Household Vehicle Occupancy'!P35,1)</f>
        <v>93.018448072779648</v>
      </c>
      <c r="Q53" s="206">
        <f ca="1">$I53*('Light Vehicle Supporting Data'!Q51/'Light Vehicle Supporting Data'!$I51)*IF(NOT('Household Vehicle Occupancy'!$C$2),'Household Vehicle Occupancy'!Q14/'Household Vehicle Occupancy'!Q35,1)</f>
        <v>68.782632088039037</v>
      </c>
      <c r="R53" s="56"/>
    </row>
    <row r="54" spans="3:18" ht="15.5" x14ac:dyDescent="0.35">
      <c r="C54" s="24" t="s">
        <v>5</v>
      </c>
      <c r="D54" s="55">
        <f>D12*('[1]12_13 fleet'!$D307/'Original 2012-13 Data'!$C11)/1000000</f>
        <v>885.28970660598748</v>
      </c>
      <c r="E54" s="56">
        <f>E12*('[2]13_14 fleet'!$D309/'Original 2013-14 Data'!$C11)/1000000</f>
        <v>883.78581195139805</v>
      </c>
      <c r="F54" s="56">
        <f>F12*('[3]14_15 fleet'!$D309/'Original 2014-15 Data'!$C11)/1000000</f>
        <v>928.26933232163628</v>
      </c>
      <c r="G54" s="56">
        <f>G12*('[4]15_16 fleet'!$D309/'Original 2015-16 Data'!$C11)/1000000</f>
        <v>983.38152965361655</v>
      </c>
      <c r="H54" s="56">
        <f>H12*('[5]16_17 fleet_v2'!$D309/'Original 2016-17 Data'!$C11)/1000000</f>
        <v>1006.4130064852436</v>
      </c>
      <c r="I54" s="167">
        <f>I12*('[6]17_18 fleet_v3'!$D311/'Original 2017-18 Data'!$C11)/1000000</f>
        <v>1020.7745339565446</v>
      </c>
      <c r="J54" s="167">
        <f ca="1">$I54*('Light Vehicle Supporting Data'!J52/'Light Vehicle Supporting Data'!$I52)*IF(NOT('Household Vehicle Occupancy'!$C$2),'Household Vehicle Occupancy'!J15/'Household Vehicle Occupancy'!J36,1)</f>
        <v>1067.2463718050558</v>
      </c>
      <c r="K54" s="167">
        <f ca="1">$I54*('Light Vehicle Supporting Data'!K52/'Light Vehicle Supporting Data'!$I52)*IF(NOT('Household Vehicle Occupancy'!$C$2),'Household Vehicle Occupancy'!K15/'Household Vehicle Occupancy'!K36,1)</f>
        <v>997.77518852831088</v>
      </c>
      <c r="L54" s="167">
        <f ca="1">$I54*('Light Vehicle Supporting Data'!L52/'Light Vehicle Supporting Data'!$I52)*IF(NOT('Household Vehicle Occupancy'!$C$2),'Household Vehicle Occupancy'!L15/'Household Vehicle Occupancy'!L36,1)</f>
        <v>914.7237413529283</v>
      </c>
      <c r="M54" s="167">
        <f ca="1">$I54*('Light Vehicle Supporting Data'!M52/'Light Vehicle Supporting Data'!$I52)*IF(NOT('Household Vehicle Occupancy'!$C$2),'Household Vehicle Occupancy'!M15/'Household Vehicle Occupancy'!M36,1)</f>
        <v>815.67888538607224</v>
      </c>
      <c r="N54" s="167">
        <f ca="1">$I54*('Light Vehicle Supporting Data'!N52/'Light Vehicle Supporting Data'!$I52)*IF(NOT('Household Vehicle Occupancy'!$C$2),'Household Vehicle Occupancy'!N15/'Household Vehicle Occupancy'!N36,1)</f>
        <v>709.54226021453155</v>
      </c>
      <c r="O54" s="205">
        <f ca="1">$I54*('Light Vehicle Supporting Data'!O52/'Light Vehicle Supporting Data'!$I52)*IF(NOT('Household Vehicle Occupancy'!$C$2),'Household Vehicle Occupancy'!O15/'Household Vehicle Occupancy'!O36,1)</f>
        <v>599.01232768025795</v>
      </c>
      <c r="P54" s="205">
        <f ca="1">$I54*('Light Vehicle Supporting Data'!P52/'Light Vehicle Supporting Data'!$I52)*IF(NOT('Household Vehicle Occupancy'!$C$2),'Household Vehicle Occupancy'!P15/'Household Vehicle Occupancy'!P36,1)</f>
        <v>484.22880522130401</v>
      </c>
      <c r="Q54" s="206">
        <f ca="1">$I54*('Light Vehicle Supporting Data'!Q52/'Light Vehicle Supporting Data'!$I52)*IF(NOT('Household Vehicle Occupancy'!$C$2),'Household Vehicle Occupancy'!Q15/'Household Vehicle Occupancy'!Q36,1)</f>
        <v>366.41612811328287</v>
      </c>
      <c r="R54" s="56"/>
    </row>
    <row r="55" spans="3:18" ht="15.5" x14ac:dyDescent="0.35">
      <c r="C55" s="24" t="s">
        <v>6</v>
      </c>
      <c r="D55" s="55">
        <f>D13*('[1]12_13 fleet'!$D308/'Original 2012-13 Data'!$C12)/1000000</f>
        <v>634.96411063443588</v>
      </c>
      <c r="E55" s="56">
        <f>E13*('[2]13_14 fleet'!$D310/'Original 2013-14 Data'!$C12)/1000000</f>
        <v>650.89305568150621</v>
      </c>
      <c r="F55" s="56">
        <f>F13*('[3]14_15 fleet'!$D310/'Original 2014-15 Data'!$C12)/1000000</f>
        <v>675.54008975533759</v>
      </c>
      <c r="G55" s="56">
        <f>G13*('[4]15_16 fleet'!$D310/'Original 2015-16 Data'!$C12)/1000000</f>
        <v>706.85285966947254</v>
      </c>
      <c r="H55" s="56">
        <f>H13*('[5]16_17 fleet_v2'!$D310/'Original 2016-17 Data'!$C12)/1000000</f>
        <v>724.41250229249135</v>
      </c>
      <c r="I55" s="167">
        <f>I13*('[6]17_18 fleet_v3'!$D312/'Original 2017-18 Data'!$C12)/1000000</f>
        <v>745.58409312649144</v>
      </c>
      <c r="J55" s="167">
        <f ca="1">$I55*('Light Vehicle Supporting Data'!J53/'Light Vehicle Supporting Data'!$I53)*IF(NOT('Household Vehicle Occupancy'!$C$2),'Household Vehicle Occupancy'!J16/'Household Vehicle Occupancy'!J37,1)</f>
        <v>786.26805795912856</v>
      </c>
      <c r="K55" s="167">
        <f ca="1">$I55*('Light Vehicle Supporting Data'!K53/'Light Vehicle Supporting Data'!$I53)*IF(NOT('Household Vehicle Occupancy'!$C$2),'Household Vehicle Occupancy'!K16/'Household Vehicle Occupancy'!K37,1)</f>
        <v>740.57355338110631</v>
      </c>
      <c r="L55" s="167">
        <f ca="1">$I55*('Light Vehicle Supporting Data'!L53/'Light Vehicle Supporting Data'!$I53)*IF(NOT('Household Vehicle Occupancy'!$C$2),'Household Vehicle Occupancy'!L16/'Household Vehicle Occupancy'!L37,1)</f>
        <v>684.73192576120437</v>
      </c>
      <c r="M55" s="167">
        <f ca="1">$I55*('Light Vehicle Supporting Data'!M53/'Light Vehicle Supporting Data'!$I53)*IF(NOT('Household Vehicle Occupancy'!$C$2),'Household Vehicle Occupancy'!M16/'Household Vehicle Occupancy'!M37,1)</f>
        <v>616.05595520005522</v>
      </c>
      <c r="N55" s="167">
        <f ca="1">$I55*('Light Vehicle Supporting Data'!N53/'Light Vehicle Supporting Data'!$I53)*IF(NOT('Household Vehicle Occupancy'!$C$2),'Household Vehicle Occupancy'!N16/'Household Vehicle Occupancy'!N37,1)</f>
        <v>540.6426805874238</v>
      </c>
      <c r="O55" s="205">
        <f ca="1">$I55*('Light Vehicle Supporting Data'!O53/'Light Vehicle Supporting Data'!$I53)*IF(NOT('Household Vehicle Occupancy'!$C$2),'Household Vehicle Occupancy'!O16/'Household Vehicle Occupancy'!O37,1)</f>
        <v>460.27529248108414</v>
      </c>
      <c r="P55" s="205">
        <f ca="1">$I55*('Light Vehicle Supporting Data'!P53/'Light Vehicle Supporting Data'!$I53)*IF(NOT('Household Vehicle Occupancy'!$C$2),'Household Vehicle Occupancy'!P16/'Household Vehicle Occupancy'!P37,1)</f>
        <v>375.14597446100396</v>
      </c>
      <c r="Q55" s="206">
        <f ca="1">$I55*('Light Vehicle Supporting Data'!Q53/'Light Vehicle Supporting Data'!$I53)*IF(NOT('Household Vehicle Occupancy'!$C$2),'Household Vehicle Occupancy'!Q16/'Household Vehicle Occupancy'!Q37,1)</f>
        <v>286.15992784791058</v>
      </c>
      <c r="R55" s="56"/>
    </row>
    <row r="56" spans="3:18" ht="15.5" x14ac:dyDescent="0.35">
      <c r="C56" s="24" t="s">
        <v>7</v>
      </c>
      <c r="D56" s="55">
        <f>D14*('[1]12_13 fleet'!$D309/'Original 2012-13 Data'!$C13)/1000000</f>
        <v>1449.3148498915396</v>
      </c>
      <c r="E56" s="56">
        <f>E14*('[2]13_14 fleet'!$D311/'Original 2013-14 Data'!$C13)/1000000</f>
        <v>1461.9552442355666</v>
      </c>
      <c r="F56" s="56">
        <f>F14*('[3]14_15 fleet'!$D311/'Original 2014-15 Data'!$C13)/1000000</f>
        <v>1495.5135156630872</v>
      </c>
      <c r="G56" s="56">
        <f>G14*('[4]15_16 fleet'!$D311/'Original 2015-16 Data'!$C13)/1000000</f>
        <v>1581.7635492480158</v>
      </c>
      <c r="H56" s="56">
        <f>H14*('[5]16_17 fleet_v2'!$D311/'Original 2016-17 Data'!$C13)/1000000</f>
        <v>1612.0486784282837</v>
      </c>
      <c r="I56" s="167">
        <f>I14*('[6]17_18 fleet_v3'!$D313/'Original 2017-18 Data'!$C13)/1000000</f>
        <v>1610.3515779050588</v>
      </c>
      <c r="J56" s="167">
        <f ca="1">$I56*('Light Vehicle Supporting Data'!J54/'Light Vehicle Supporting Data'!$I54)*IF(NOT('Household Vehicle Occupancy'!$C$2),'Household Vehicle Occupancy'!J17/'Household Vehicle Occupancy'!J38,1)</f>
        <v>1663.2668474467175</v>
      </c>
      <c r="K56" s="167">
        <f ca="1">$I56*('Light Vehicle Supporting Data'!K54/'Light Vehicle Supporting Data'!$I54)*IF(NOT('Household Vehicle Occupancy'!$C$2),'Household Vehicle Occupancy'!K17/'Household Vehicle Occupancy'!K38,1)</f>
        <v>1539.2706789819615</v>
      </c>
      <c r="L56" s="167">
        <f ca="1">$I56*('Light Vehicle Supporting Data'!L54/'Light Vehicle Supporting Data'!$I54)*IF(NOT('Household Vehicle Occupancy'!$C$2),'Household Vehicle Occupancy'!L17/'Household Vehicle Occupancy'!L38,1)</f>
        <v>1397.0853087929611</v>
      </c>
      <c r="M56" s="167">
        <f ca="1">$I56*('Light Vehicle Supporting Data'!M54/'Light Vehicle Supporting Data'!$I54)*IF(NOT('Household Vehicle Occupancy'!$C$2),'Household Vehicle Occupancy'!M17/'Household Vehicle Occupancy'!M38,1)</f>
        <v>1233.3141555443797</v>
      </c>
      <c r="N56" s="167">
        <f ca="1">$I56*('Light Vehicle Supporting Data'!N54/'Light Vehicle Supporting Data'!$I54)*IF(NOT('Household Vehicle Occupancy'!$C$2),'Household Vehicle Occupancy'!N17/'Household Vehicle Occupancy'!N38,1)</f>
        <v>1060.7902886877825</v>
      </c>
      <c r="O56" s="205">
        <f ca="1">$I56*('Light Vehicle Supporting Data'!O54/'Light Vehicle Supporting Data'!$I54)*IF(NOT('Household Vehicle Occupancy'!$C$2),'Household Vehicle Occupancy'!O17/'Household Vehicle Occupancy'!O38,1)</f>
        <v>885.49645690594969</v>
      </c>
      <c r="P56" s="205">
        <f ca="1">$I56*('Light Vehicle Supporting Data'!P54/'Light Vehicle Supporting Data'!$I54)*IF(NOT('Household Vehicle Occupancy'!$C$2),'Household Vehicle Occupancy'!P17/'Household Vehicle Occupancy'!P38,1)</f>
        <v>707.74366341764676</v>
      </c>
      <c r="Q56" s="206">
        <f ca="1">$I56*('Light Vehicle Supporting Data'!Q54/'Light Vehicle Supporting Data'!$I54)*IF(NOT('Household Vehicle Occupancy'!$C$2),'Household Vehicle Occupancy'!Q17/'Household Vehicle Occupancy'!Q38,1)</f>
        <v>529.48748926439407</v>
      </c>
      <c r="R56" s="56"/>
    </row>
    <row r="57" spans="3:18" ht="15.5" x14ac:dyDescent="0.35">
      <c r="C57" s="24" t="s">
        <v>8</v>
      </c>
      <c r="D57" s="55">
        <f>D15*('[1]12_13 fleet'!$D310/'Original 2012-13 Data'!$C14)/1000000</f>
        <v>2325.3607752958515</v>
      </c>
      <c r="E57" s="56">
        <f>E15*('[2]13_14 fleet'!$D312/'Original 2013-14 Data'!$C14)/1000000</f>
        <v>2364.6689000360702</v>
      </c>
      <c r="F57" s="56">
        <f>F15*('[3]14_15 fleet'!$D312/'Original 2014-15 Data'!$C14)/1000000</f>
        <v>2548.5249617976806</v>
      </c>
      <c r="G57" s="56">
        <f>G15*('[4]15_16 fleet'!$D312/'Original 2015-16 Data'!$C14)/1000000</f>
        <v>2515.0401208985891</v>
      </c>
      <c r="H57" s="56">
        <f>H15*('[5]16_17 fleet_v2'!$D312/'Original 2016-17 Data'!$C14)/1000000</f>
        <v>2479.7828721574688</v>
      </c>
      <c r="I57" s="167">
        <f>I15*('[6]17_18 fleet_v3'!$D314/'Original 2017-18 Data'!$C14)/1000000</f>
        <v>2562.2234876018588</v>
      </c>
      <c r="J57" s="167">
        <f ca="1">$I57*('Light Vehicle Supporting Data'!J55/'Light Vehicle Supporting Data'!$I55)*IF(NOT('Household Vehicle Occupancy'!$C$2),'Household Vehicle Occupancy'!J18/'Household Vehicle Occupancy'!J39,1)</f>
        <v>2702.1067157475072</v>
      </c>
      <c r="K57" s="167">
        <f ca="1">$I57*('Light Vehicle Supporting Data'!K55/'Light Vehicle Supporting Data'!$I55)*IF(NOT('Household Vehicle Occupancy'!$C$2),'Household Vehicle Occupancy'!K18/'Household Vehicle Occupancy'!K39,1)</f>
        <v>2547.1823584390177</v>
      </c>
      <c r="L57" s="167">
        <f ca="1">$I57*('Light Vehicle Supporting Data'!L55/'Light Vehicle Supporting Data'!$I55)*IF(NOT('Household Vehicle Occupancy'!$C$2),'Household Vehicle Occupancy'!L18/'Household Vehicle Occupancy'!L39,1)</f>
        <v>2357.0672143414404</v>
      </c>
      <c r="M57" s="167">
        <f ca="1">$I57*('Light Vehicle Supporting Data'!M55/'Light Vehicle Supporting Data'!$I55)*IF(NOT('Household Vehicle Occupancy'!$C$2),'Household Vehicle Occupancy'!M18/'Household Vehicle Occupancy'!M39,1)</f>
        <v>2120.9678991911701</v>
      </c>
      <c r="N57" s="167">
        <f ca="1">$I57*('Light Vehicle Supporting Data'!N55/'Light Vehicle Supporting Data'!$I55)*IF(NOT('Household Vehicle Occupancy'!$C$2),'Household Vehicle Occupancy'!N18/'Household Vehicle Occupancy'!N39,1)</f>
        <v>1859.6430925097038</v>
      </c>
      <c r="O57" s="205">
        <f ca="1">$I57*('Light Vehicle Supporting Data'!O55/'Light Vehicle Supporting Data'!$I55)*IF(NOT('Household Vehicle Occupancy'!$C$2),'Household Vehicle Occupancy'!O18/'Household Vehicle Occupancy'!O39,1)</f>
        <v>1582.4884102476694</v>
      </c>
      <c r="P57" s="205">
        <f ca="1">$I57*('Light Vehicle Supporting Data'!P55/'Light Vehicle Supporting Data'!$I55)*IF(NOT('Household Vehicle Occupancy'!$C$2),'Household Vehicle Occupancy'!P18/'Household Vehicle Occupancy'!P39,1)</f>
        <v>1288.768087907436</v>
      </c>
      <c r="Q57" s="206">
        <f ca="1">$I57*('Light Vehicle Supporting Data'!Q55/'Light Vehicle Supporting Data'!$I55)*IF(NOT('Household Vehicle Occupancy'!$C$2),'Household Vehicle Occupancy'!Q18/'Household Vehicle Occupancy'!Q39,1)</f>
        <v>981.96751188381404</v>
      </c>
      <c r="R57" s="56"/>
    </row>
    <row r="58" spans="3:18" ht="15.5" x14ac:dyDescent="0.35">
      <c r="C58" s="24" t="s">
        <v>9</v>
      </c>
      <c r="D58" s="55">
        <f>D16*('[1]12_13 fleet'!$D311/'Original 2012-13 Data'!$C15)/1000000</f>
        <v>751.4188518475039</v>
      </c>
      <c r="E58" s="56">
        <f>E16*('[2]13_14 fleet'!$D313/'Original 2013-14 Data'!$C15)/1000000</f>
        <v>760.71074116184536</v>
      </c>
      <c r="F58" s="56">
        <f>F16*('[3]14_15 fleet'!$D313/'Original 2014-15 Data'!$C15)/1000000</f>
        <v>730.86756922792165</v>
      </c>
      <c r="G58" s="56">
        <f>G16*('[4]15_16 fleet'!$D313/'Original 2015-16 Data'!$C15)/1000000</f>
        <v>865.32673751456389</v>
      </c>
      <c r="H58" s="56">
        <f>H16*('[5]16_17 fleet_v2'!$D313/'Original 2016-17 Data'!$C15)/1000000</f>
        <v>886.1236219799689</v>
      </c>
      <c r="I58" s="167">
        <f>I16*('[6]17_18 fleet_v3'!$D315/'Original 2017-18 Data'!$C15)/1000000</f>
        <v>930.17799801899753</v>
      </c>
      <c r="J58" s="167">
        <f ca="1">$I58*('Light Vehicle Supporting Data'!J56/'Light Vehicle Supporting Data'!$I56)*IF(NOT('Household Vehicle Occupancy'!$C$2),'Household Vehicle Occupancy'!J19/'Household Vehicle Occupancy'!J40,1)</f>
        <v>959.48364767205396</v>
      </c>
      <c r="K58" s="167">
        <f ca="1">$I58*('Light Vehicle Supporting Data'!K56/'Light Vehicle Supporting Data'!$I56)*IF(NOT('Household Vehicle Occupancy'!$C$2),'Household Vehicle Occupancy'!K19/'Household Vehicle Occupancy'!K40,1)</f>
        <v>887.92096339480838</v>
      </c>
      <c r="L58" s="167">
        <f ca="1">$I58*('Light Vehicle Supporting Data'!L56/'Light Vehicle Supporting Data'!$I56)*IF(NOT('Household Vehicle Occupancy'!$C$2),'Household Vehicle Occupancy'!L19/'Household Vehicle Occupancy'!L40,1)</f>
        <v>805.80885380622806</v>
      </c>
      <c r="M58" s="167">
        <f ca="1">$I58*('Light Vehicle Supporting Data'!M56/'Light Vehicle Supporting Data'!$I56)*IF(NOT('Household Vehicle Occupancy'!$C$2),'Household Vehicle Occupancy'!M19/'Household Vehicle Occupancy'!M40,1)</f>
        <v>710.81545950560587</v>
      </c>
      <c r="N58" s="167">
        <f ca="1">$I58*('Light Vehicle Supporting Data'!N56/'Light Vehicle Supporting Data'!$I56)*IF(NOT('Household Vehicle Occupancy'!$C$2),'Household Vehicle Occupancy'!N19/'Household Vehicle Occupancy'!N40,1)</f>
        <v>610.06044880707543</v>
      </c>
      <c r="O58" s="205">
        <f ca="1">$I58*('Light Vehicle Supporting Data'!O56/'Light Vehicle Supporting Data'!$I56)*IF(NOT('Household Vehicle Occupancy'!$C$2),'Household Vehicle Occupancy'!O19/'Household Vehicle Occupancy'!O40,1)</f>
        <v>507.91049239233939</v>
      </c>
      <c r="P58" s="205">
        <f ca="1">$I58*('Light Vehicle Supporting Data'!P56/'Light Vehicle Supporting Data'!$I56)*IF(NOT('Household Vehicle Occupancy'!$C$2),'Household Vehicle Occupancy'!P19/'Household Vehicle Occupancy'!P40,1)</f>
        <v>404.67924058005133</v>
      </c>
      <c r="Q58" s="206">
        <f ca="1">$I58*('Light Vehicle Supporting Data'!Q56/'Light Vehicle Supporting Data'!$I56)*IF(NOT('Household Vehicle Occupancy'!$C$2),'Household Vehicle Occupancy'!Q19/'Household Vehicle Occupancy'!Q40,1)</f>
        <v>301.64374428485917</v>
      </c>
      <c r="R58" s="56"/>
    </row>
    <row r="59" spans="3:18" ht="15.5" x14ac:dyDescent="0.35">
      <c r="C59" s="24" t="s">
        <v>10</v>
      </c>
      <c r="D59" s="55">
        <f>D17*('[1]12_13 fleet'!$D312/'Original 2012-13 Data'!$C16)/1000000</f>
        <v>268.73184019377254</v>
      </c>
      <c r="E59" s="56">
        <f>E17*('[2]13_14 fleet'!$D314/'Original 2013-14 Data'!$C16)/1000000</f>
        <v>269.20036300142266</v>
      </c>
      <c r="F59" s="56">
        <f>F17*('[3]14_15 fleet'!$D314/'Original 2014-15 Data'!$C16)/1000000</f>
        <v>284.86735545719347</v>
      </c>
      <c r="G59" s="56">
        <f>G17*('[4]15_16 fleet'!$D314/'Original 2015-16 Data'!$C16)/1000000</f>
        <v>307.15821033926886</v>
      </c>
      <c r="H59" s="56">
        <f>H17*('[5]16_17 fleet_v2'!$D314/'Original 2016-17 Data'!$C16)/1000000</f>
        <v>317.2983001587852</v>
      </c>
      <c r="I59" s="167">
        <f>I17*('[6]17_18 fleet_v3'!$D316/'Original 2017-18 Data'!$C16)/1000000</f>
        <v>340.93472378142161</v>
      </c>
      <c r="J59" s="167">
        <f ca="1">$I59*('Light Vehicle Supporting Data'!J57/'Light Vehicle Supporting Data'!$I57)*IF(NOT('Household Vehicle Occupancy'!$C$2),'Household Vehicle Occupancy'!J20/'Household Vehicle Occupancy'!J41,1)</f>
        <v>341.43223422350468</v>
      </c>
      <c r="K59" s="167">
        <f ca="1">$I59*('Light Vehicle Supporting Data'!K57/'Light Vehicle Supporting Data'!$I57)*IF(NOT('Household Vehicle Occupancy'!$C$2),'Household Vehicle Occupancy'!K20/'Household Vehicle Occupancy'!K41,1)</f>
        <v>307.27215837269307</v>
      </c>
      <c r="L59" s="167">
        <f ca="1">$I59*('Light Vehicle Supporting Data'!L57/'Light Vehicle Supporting Data'!$I57)*IF(NOT('Household Vehicle Occupancy'!$C$2),'Household Vehicle Occupancy'!L20/'Household Vehicle Occupancy'!L41,1)</f>
        <v>271.29995295213826</v>
      </c>
      <c r="M59" s="167">
        <f ca="1">$I59*('Light Vehicle Supporting Data'!M57/'Light Vehicle Supporting Data'!$I57)*IF(NOT('Household Vehicle Occupancy'!$C$2),'Household Vehicle Occupancy'!M20/'Household Vehicle Occupancy'!M41,1)</f>
        <v>232.95536309775378</v>
      </c>
      <c r="N59" s="167">
        <f ca="1">$I59*('Light Vehicle Supporting Data'!N57/'Light Vehicle Supporting Data'!$I57)*IF(NOT('Household Vehicle Occupancy'!$C$2),'Household Vehicle Occupancy'!N20/'Household Vehicle Occupancy'!N41,1)</f>
        <v>195.13230326128354</v>
      </c>
      <c r="O59" s="205">
        <f ca="1">$I59*('Light Vehicle Supporting Data'!O57/'Light Vehicle Supporting Data'!$I57)*IF(NOT('Household Vehicle Occupancy'!$C$2),'Household Vehicle Occupancy'!O20/'Household Vehicle Occupancy'!O41,1)</f>
        <v>158.52196246333941</v>
      </c>
      <c r="P59" s="205">
        <f ca="1">$I59*('Light Vehicle Supporting Data'!P57/'Light Vehicle Supporting Data'!$I57)*IF(NOT('Household Vehicle Occupancy'!$C$2),'Household Vehicle Occupancy'!P20/'Household Vehicle Occupancy'!P41,1)</f>
        <v>123.23629644532477</v>
      </c>
      <c r="Q59" s="206">
        <f ca="1">$I59*('Light Vehicle Supporting Data'!Q57/'Light Vehicle Supporting Data'!$I57)*IF(NOT('Household Vehicle Occupancy'!$C$2),'Household Vehicle Occupancy'!Q20/'Household Vehicle Occupancy'!Q41,1)</f>
        <v>89.6245464147608</v>
      </c>
      <c r="R59" s="56"/>
    </row>
    <row r="60" spans="3:18" ht="15.5" x14ac:dyDescent="0.35">
      <c r="C60" s="24" t="s">
        <v>11</v>
      </c>
      <c r="D60" s="55">
        <f>D18*('[1]12_13 fleet'!$D313/'Original 2012-13 Data'!$C17)/1000000</f>
        <v>3211.4328759573523</v>
      </c>
      <c r="E60" s="56">
        <f>E18*('[2]13_14 fleet'!$D315/'Original 2013-14 Data'!$C17)/1000000</f>
        <v>3331.5619542159202</v>
      </c>
      <c r="F60" s="56">
        <f>F18*('[3]14_15 fleet'!$D315/'Original 2014-15 Data'!$C17)/1000000</f>
        <v>3505.9981616759424</v>
      </c>
      <c r="G60" s="56">
        <f>G18*('[4]15_16 fleet'!$D315/'Original 2015-16 Data'!$C17)/1000000</f>
        <v>3757.9804557589491</v>
      </c>
      <c r="H60" s="56">
        <f>H18*('[5]16_17 fleet_v2'!$D315/'Original 2016-17 Data'!$C17)/1000000</f>
        <v>3711.504298287593</v>
      </c>
      <c r="I60" s="167">
        <f>I18*('[6]17_18 fleet_v3'!$D317/'Original 2017-18 Data'!$C17)/1000000</f>
        <v>3890.267406836278</v>
      </c>
      <c r="J60" s="167">
        <f ca="1">$I60*('Light Vehicle Supporting Data'!J58/'Light Vehicle Supporting Data'!$I58)*IF(NOT('Household Vehicle Occupancy'!$C$2),'Household Vehicle Occupancy'!J21/'Household Vehicle Occupancy'!J42,1)</f>
        <v>4191.0525463080121</v>
      </c>
      <c r="K60" s="167">
        <f ca="1">$I60*('Light Vehicle Supporting Data'!K58/'Light Vehicle Supporting Data'!$I58)*IF(NOT('Household Vehicle Occupancy'!$C$2),'Household Vehicle Occupancy'!K21/'Household Vehicle Occupancy'!K42,1)</f>
        <v>4006.5904083683472</v>
      </c>
      <c r="L60" s="167">
        <f ca="1">$I60*('Light Vehicle Supporting Data'!L58/'Light Vehicle Supporting Data'!$I58)*IF(NOT('Household Vehicle Occupancy'!$C$2),'Household Vehicle Occupancy'!L21/'Household Vehicle Occupancy'!L42,1)</f>
        <v>3754.6764507733851</v>
      </c>
      <c r="M60" s="167">
        <f ca="1">$I60*('Light Vehicle Supporting Data'!M58/'Light Vehicle Supporting Data'!$I58)*IF(NOT('Household Vehicle Occupancy'!$C$2),'Household Vehicle Occupancy'!M21/'Household Vehicle Occupancy'!M42,1)</f>
        <v>3421.2415599857836</v>
      </c>
      <c r="N60" s="167">
        <f ca="1">$I60*('Light Vehicle Supporting Data'!N58/'Light Vehicle Supporting Data'!$I58)*IF(NOT('Household Vehicle Occupancy'!$C$2),'Household Vehicle Occupancy'!N21/'Household Vehicle Occupancy'!N42,1)</f>
        <v>3037.4212647954605</v>
      </c>
      <c r="O60" s="205">
        <f ca="1">$I60*('Light Vehicle Supporting Data'!O58/'Light Vehicle Supporting Data'!$I58)*IF(NOT('Household Vehicle Occupancy'!$C$2),'Household Vehicle Occupancy'!O21/'Household Vehicle Occupancy'!O42,1)</f>
        <v>2618.2310539980258</v>
      </c>
      <c r="P60" s="205">
        <f ca="1">$I60*('Light Vehicle Supporting Data'!P58/'Light Vehicle Supporting Data'!$I58)*IF(NOT('Household Vehicle Occupancy'!$C$2),'Household Vehicle Occupancy'!P21/'Household Vehicle Occupancy'!P42,1)</f>
        <v>2159.910345550848</v>
      </c>
      <c r="Q60" s="206">
        <f ca="1">$I60*('Light Vehicle Supporting Data'!Q58/'Light Vehicle Supporting Data'!$I58)*IF(NOT('Household Vehicle Occupancy'!$C$2),'Household Vehicle Occupancy'!Q21/'Household Vehicle Occupancy'!Q42,1)</f>
        <v>1667.0081356520536</v>
      </c>
      <c r="R60" s="56"/>
    </row>
    <row r="61" spans="3:18" ht="15.5" x14ac:dyDescent="0.35">
      <c r="C61" s="24" t="s">
        <v>12</v>
      </c>
      <c r="D61" s="55">
        <f>D19*('[1]12_13 fleet'!$D314/'Original 2012-13 Data'!$C18)/1000000</f>
        <v>1272.5311533416125</v>
      </c>
      <c r="E61" s="56">
        <f>E19*('[2]13_14 fleet'!$D316/'Original 2013-14 Data'!$C18)/1000000</f>
        <v>1305.1117266473138</v>
      </c>
      <c r="F61" s="56">
        <f>F19*('[3]14_15 fleet'!$D316/'Original 2014-15 Data'!$C18)/1000000</f>
        <v>1348.1549453178534</v>
      </c>
      <c r="G61" s="56">
        <f>G19*('[4]15_16 fleet'!$D316/'Original 2015-16 Data'!$C18)/1000000</f>
        <v>1419.1396490161287</v>
      </c>
      <c r="H61" s="56">
        <f>H19*('[5]16_17 fleet_v2'!$D316/'Original 2016-17 Data'!$C18)/1000000</f>
        <v>1462.228664837239</v>
      </c>
      <c r="I61" s="167">
        <f>I19*('[6]17_18 fleet_v3'!$D318/'Original 2017-18 Data'!$C18)/1000000</f>
        <v>1629.5870158715709</v>
      </c>
      <c r="J61" s="167">
        <f ca="1">$I61*('Light Vehicle Supporting Data'!J59/'Light Vehicle Supporting Data'!$I59)*IF(NOT('Household Vehicle Occupancy'!$C$2),'Household Vehicle Occupancy'!J22/'Household Vehicle Occupancy'!J43,1)</f>
        <v>1751.781106897063</v>
      </c>
      <c r="K61" s="167">
        <f ca="1">$I61*('Light Vehicle Supporting Data'!K59/'Light Vehicle Supporting Data'!$I59)*IF(NOT('Household Vehicle Occupancy'!$C$2),'Household Vehicle Occupancy'!K22/'Household Vehicle Occupancy'!K43,1)</f>
        <v>1667.232871078598</v>
      </c>
      <c r="L61" s="167">
        <f ca="1">$I61*('Light Vehicle Supporting Data'!L59/'Light Vehicle Supporting Data'!$I59)*IF(NOT('Household Vehicle Occupancy'!$C$2),'Household Vehicle Occupancy'!L22/'Household Vehicle Occupancy'!L43,1)</f>
        <v>1555.926872591139</v>
      </c>
      <c r="M61" s="167">
        <f ca="1">$I61*('Light Vehicle Supporting Data'!M59/'Light Vehicle Supporting Data'!$I59)*IF(NOT('Household Vehicle Occupancy'!$C$2),'Household Vehicle Occupancy'!M22/'Household Vehicle Occupancy'!M43,1)</f>
        <v>1411.4157935871083</v>
      </c>
      <c r="N61" s="167">
        <f ca="1">$I61*('Light Vehicle Supporting Data'!N59/'Light Vehicle Supporting Data'!$I59)*IF(NOT('Household Vehicle Occupancy'!$C$2),'Household Vehicle Occupancy'!N22/'Household Vehicle Occupancy'!N43,1)</f>
        <v>1247.926145607008</v>
      </c>
      <c r="O61" s="205">
        <f ca="1">$I61*('Light Vehicle Supporting Data'!O59/'Light Vehicle Supporting Data'!$I59)*IF(NOT('Household Vehicle Occupancy'!$C$2),'Household Vehicle Occupancy'!O22/'Household Vehicle Occupancy'!O43,1)</f>
        <v>1070.5855885887252</v>
      </c>
      <c r="P61" s="205">
        <f ca="1">$I61*('Light Vehicle Supporting Data'!P59/'Light Vehicle Supporting Data'!$I59)*IF(NOT('Household Vehicle Occupancy'!$C$2),'Household Vehicle Occupancy'!P22/'Household Vehicle Occupancy'!P43,1)</f>
        <v>878.94131396418732</v>
      </c>
      <c r="Q61" s="206">
        <f ca="1">$I61*('Light Vehicle Supporting Data'!Q59/'Light Vehicle Supporting Data'!$I59)*IF(NOT('Household Vehicle Occupancy'!$C$2),'Household Vehicle Occupancy'!Q22/'Household Vehicle Occupancy'!Q43,1)</f>
        <v>675.08246938031789</v>
      </c>
      <c r="R61" s="56"/>
    </row>
    <row r="62" spans="3:18" ht="16" thickBot="1" x14ac:dyDescent="0.4">
      <c r="C62" s="25" t="s">
        <v>13</v>
      </c>
      <c r="D62" s="58">
        <f>D20*('[1]12_13 fleet'!$D315/'Original 2012-13 Data'!$C19)/1000000</f>
        <v>641.85328017967902</v>
      </c>
      <c r="E62" s="59">
        <f>E20*('[2]13_14 fleet'!$D317/'Original 2013-14 Data'!$C19)/1000000</f>
        <v>652.18228154125109</v>
      </c>
      <c r="F62" s="59">
        <f>F20*('[3]14_15 fleet'!$D317/'Original 2014-15 Data'!$C19)/1000000</f>
        <v>627.83489351089872</v>
      </c>
      <c r="G62" s="59">
        <f>G20*('[4]15_16 fleet'!$D317/'Original 2015-16 Data'!$C19)/1000000</f>
        <v>711.29269180890753</v>
      </c>
      <c r="H62" s="59">
        <f>H20*('[5]16_17 fleet_v2'!$D317/'Original 2016-17 Data'!$C19)/1000000</f>
        <v>713.82496409750377</v>
      </c>
      <c r="I62" s="171">
        <f>I20*('[6]17_18 fleet_v3'!$D319/'Original 2017-18 Data'!$C19)/1000000</f>
        <v>731.38546287102849</v>
      </c>
      <c r="J62" s="171">
        <f ca="1">$I62*('Light Vehicle Supporting Data'!J60/'Light Vehicle Supporting Data'!$I60)*IF(NOT('Household Vehicle Occupancy'!$C$2),'Household Vehicle Occupancy'!J23/'Household Vehicle Occupancy'!J44,1)</f>
        <v>739.04419336927037</v>
      </c>
      <c r="K62" s="171">
        <f ca="1">$I62*('Light Vehicle Supporting Data'!K60/'Light Vehicle Supporting Data'!$I60)*IF(NOT('Household Vehicle Occupancy'!$C$2),'Household Vehicle Occupancy'!K23/'Household Vehicle Occupancy'!K44,1)</f>
        <v>672.51696200019228</v>
      </c>
      <c r="L62" s="171">
        <f ca="1">$I62*('Light Vehicle Supporting Data'!L60/'Light Vehicle Supporting Data'!$I60)*IF(NOT('Household Vehicle Occupancy'!$C$2),'Household Vehicle Occupancy'!L23/'Household Vehicle Occupancy'!L44,1)</f>
        <v>601.18552957995348</v>
      </c>
      <c r="M62" s="171">
        <f ca="1">$I62*('Light Vehicle Supporting Data'!M60/'Light Vehicle Supporting Data'!$I60)*IF(NOT('Household Vehicle Occupancy'!$C$2),'Household Vehicle Occupancy'!M23/'Household Vehicle Occupancy'!M44,1)</f>
        <v>522.9266183679689</v>
      </c>
      <c r="N62" s="171">
        <f ca="1">$I62*('Light Vehicle Supporting Data'!N60/'Light Vehicle Supporting Data'!$I60)*IF(NOT('Household Vehicle Occupancy'!$C$2),'Household Vehicle Occupancy'!N23/'Household Vehicle Occupancy'!N44,1)</f>
        <v>443.51826243518684</v>
      </c>
      <c r="O62" s="207">
        <f ca="1">$I62*('Light Vehicle Supporting Data'!O60/'Light Vehicle Supporting Data'!$I60)*IF(NOT('Household Vehicle Occupancy'!$C$2),'Household Vehicle Occupancy'!O23/'Household Vehicle Occupancy'!O44,1)</f>
        <v>364.86321779344371</v>
      </c>
      <c r="P62" s="207">
        <f ca="1">$I62*('Light Vehicle Supporting Data'!P60/'Light Vehicle Supporting Data'!$I60)*IF(NOT('Household Vehicle Occupancy'!$C$2),'Household Vehicle Occupancy'!P23/'Household Vehicle Occupancy'!P44,1)</f>
        <v>287.23515243667566</v>
      </c>
      <c r="Q62" s="208">
        <f ca="1">$I62*('Light Vehicle Supporting Data'!Q60/'Light Vehicle Supporting Data'!$I60)*IF(NOT('Household Vehicle Occupancy'!$C$2),'Household Vehicle Occupancy'!Q23/'Household Vehicle Occupancy'!Q44,1)</f>
        <v>211.53597028476656</v>
      </c>
      <c r="R62" s="56"/>
    </row>
    <row r="63" spans="3:18" ht="16.5" thickTop="1" thickBot="1" x14ac:dyDescent="0.4">
      <c r="C63" s="31" t="s">
        <v>24</v>
      </c>
      <c r="D63" s="61">
        <f t="shared" ref="D63:Q63" si="34">SUM(D49:D62)</f>
        <v>25745.274770528489</v>
      </c>
      <c r="E63" s="62">
        <f t="shared" si="34"/>
        <v>26131.901463411057</v>
      </c>
      <c r="F63" s="62">
        <f t="shared" si="34"/>
        <v>26988.807500513311</v>
      </c>
      <c r="G63" s="62">
        <f t="shared" si="34"/>
        <v>28274.664138999622</v>
      </c>
      <c r="H63" s="62">
        <f t="shared" si="34"/>
        <v>28758.322966779979</v>
      </c>
      <c r="I63" s="62">
        <f t="shared" si="34"/>
        <v>29552.980496073622</v>
      </c>
      <c r="J63" s="62">
        <f t="shared" ca="1" si="34"/>
        <v>31214.636731434275</v>
      </c>
      <c r="K63" s="62">
        <f t="shared" ca="1" si="34"/>
        <v>29398.064551348001</v>
      </c>
      <c r="L63" s="62">
        <f t="shared" ca="1" si="34"/>
        <v>27206.196146667618</v>
      </c>
      <c r="M63" s="62">
        <f t="shared" ca="1" si="34"/>
        <v>24482.835100481749</v>
      </c>
      <c r="N63" s="62">
        <f t="shared" ca="1" si="34"/>
        <v>21472.394611495991</v>
      </c>
      <c r="O63" s="125">
        <f t="shared" ca="1" si="34"/>
        <v>18275.356301631658</v>
      </c>
      <c r="P63" s="125">
        <f t="shared" ca="1" si="34"/>
        <v>14887.81831593176</v>
      </c>
      <c r="Q63" s="126">
        <f t="shared" ca="1" si="34"/>
        <v>11347.381046287639</v>
      </c>
      <c r="R63" s="56"/>
    </row>
    <row r="64" spans="3:18" ht="13" thickTop="1" x14ac:dyDescent="0.25">
      <c r="N64" s="121"/>
    </row>
    <row r="65" spans="3:18" ht="13" thickBot="1" x14ac:dyDescent="0.3">
      <c r="N65" s="121"/>
    </row>
    <row r="66" spans="3:18" ht="16" thickTop="1" x14ac:dyDescent="0.35">
      <c r="C66" s="32" t="s">
        <v>61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121"/>
    </row>
    <row r="67" spans="3:18" ht="13.5" thickBot="1" x14ac:dyDescent="0.35">
      <c r="C67" s="18"/>
      <c r="D67" s="65" t="s">
        <v>25</v>
      </c>
      <c r="E67" s="65" t="s">
        <v>37</v>
      </c>
      <c r="F67" s="65" t="s">
        <v>38</v>
      </c>
      <c r="G67" s="37" t="s">
        <v>177</v>
      </c>
      <c r="H67" s="37" t="s">
        <v>178</v>
      </c>
      <c r="I67" s="65" t="s">
        <v>26</v>
      </c>
      <c r="J67" s="65" t="s">
        <v>27</v>
      </c>
      <c r="K67" s="65" t="s">
        <v>28</v>
      </c>
      <c r="L67" s="65" t="s">
        <v>29</v>
      </c>
      <c r="M67" s="65" t="s">
        <v>30</v>
      </c>
      <c r="N67" s="65" t="s">
        <v>31</v>
      </c>
      <c r="O67" s="37" t="s">
        <v>174</v>
      </c>
      <c r="P67" s="37" t="s">
        <v>175</v>
      </c>
      <c r="Q67" s="38" t="s">
        <v>176</v>
      </c>
      <c r="R67" s="65"/>
    </row>
    <row r="68" spans="3:18" ht="14" thickTop="1" thickBot="1" x14ac:dyDescent="0.35">
      <c r="C68" s="70"/>
      <c r="D68" s="71" t="s">
        <v>39</v>
      </c>
      <c r="E68" s="71" t="s">
        <v>39</v>
      </c>
      <c r="F68" s="71" t="s">
        <v>39</v>
      </c>
      <c r="G68" s="71" t="s">
        <v>39</v>
      </c>
      <c r="H68" s="71" t="s">
        <v>39</v>
      </c>
      <c r="I68" s="71" t="s">
        <v>39</v>
      </c>
      <c r="J68" s="71" t="s">
        <v>32</v>
      </c>
      <c r="K68" s="71" t="s">
        <v>32</v>
      </c>
      <c r="L68" s="71" t="s">
        <v>32</v>
      </c>
      <c r="M68" s="71" t="s">
        <v>32</v>
      </c>
      <c r="N68" s="71" t="s">
        <v>32</v>
      </c>
      <c r="O68" s="65" t="s">
        <v>32</v>
      </c>
      <c r="P68" s="65" t="s">
        <v>32</v>
      </c>
      <c r="Q68" s="66" t="s">
        <v>32</v>
      </c>
      <c r="R68" s="65"/>
    </row>
    <row r="69" spans="3:18" ht="16" thickTop="1" x14ac:dyDescent="0.35">
      <c r="C69" s="24" t="s">
        <v>0</v>
      </c>
      <c r="D69" s="42">
        <f>'[1]12_13 fleet'!$D84*'Light Vehicle Supporting Data'!D$144</f>
        <v>84522.180837276072</v>
      </c>
      <c r="E69" s="43">
        <f>'[2]13_14 fleet'!$D85*'Light Vehicle Supporting Data'!E$144</f>
        <v>86002.839388585606</v>
      </c>
      <c r="F69" s="43">
        <f>'[3]14_15 fleet'!$D85*'Light Vehicle Supporting Data'!F$144</f>
        <v>86964.41386927948</v>
      </c>
      <c r="G69" s="43">
        <f>'[4]15_16 fleet'!$D85*'Light Vehicle Supporting Data'!G$144</f>
        <v>89945.757761877423</v>
      </c>
      <c r="H69" s="43">
        <f>'[5]16_17 fleet_v2'!$D85*'Light Vehicle Supporting Data'!H$144</f>
        <v>93737.175439571045</v>
      </c>
      <c r="I69" s="209">
        <f>'[6]17_18 fleet_v3'!$D86*'Light Vehicle Supporting Data'!I$144</f>
        <v>99133.413830175879</v>
      </c>
      <c r="J69" s="202">
        <f>$I69*('Vehicle Share Diversion Support'!J27/'Vehicle Share Diversion Support'!$I27)</f>
        <v>106982.20806325902</v>
      </c>
      <c r="K69" s="202">
        <f>$I69*('Vehicle Share Diversion Support'!K27/'Vehicle Share Diversion Support'!$I27)</f>
        <v>101778.20108448746</v>
      </c>
      <c r="L69" s="202">
        <f>$I69*('Vehicle Share Diversion Support'!L27/'Vehicle Share Diversion Support'!$I27)</f>
        <v>94766.352716925758</v>
      </c>
      <c r="M69" s="202">
        <f>$I69*('Vehicle Share Diversion Support'!M27/'Vehicle Share Diversion Support'!$I27)</f>
        <v>85850.161133096553</v>
      </c>
      <c r="N69" s="202">
        <f>$I69*('Vehicle Share Diversion Support'!N27/'Vehicle Share Diversion Support'!$I27)</f>
        <v>76090.756717990866</v>
      </c>
      <c r="O69" s="129">
        <f ca="1">$I69*('Vehicle Share Diversion Support'!O27/'Vehicle Share Diversion Support'!$I27)</f>
        <v>64287.133668932547</v>
      </c>
      <c r="P69" s="129">
        <f ca="1">$I69*('Vehicle Share Diversion Support'!P27/'Vehicle Share Diversion Support'!$I27)</f>
        <v>51996.842993545935</v>
      </c>
      <c r="Q69" s="197">
        <f ca="1">$I69*('Vehicle Share Diversion Support'!Q27/'Vehicle Share Diversion Support'!$I27)</f>
        <v>39359.017173985041</v>
      </c>
      <c r="R69" s="56"/>
    </row>
    <row r="70" spans="3:18" ht="15.5" x14ac:dyDescent="0.35">
      <c r="C70" s="24" t="s">
        <v>1</v>
      </c>
      <c r="D70" s="42">
        <f>'[1]12_13 fleet'!$D85*'Light Vehicle Supporting Data'!D$144</f>
        <v>790154.50956654991</v>
      </c>
      <c r="E70" s="43">
        <f>'[2]13_14 fleet'!$D86*'Light Vehicle Supporting Data'!E$144</f>
        <v>815698.15167841187</v>
      </c>
      <c r="F70" s="43">
        <f>'[3]14_15 fleet'!$D86*'Light Vehicle Supporting Data'!F$144</f>
        <v>861485.04280836042</v>
      </c>
      <c r="G70" s="43">
        <f>'[4]15_16 fleet'!$D86*'Light Vehicle Supporting Data'!G$144</f>
        <v>893758.84765732428</v>
      </c>
      <c r="H70" s="43">
        <f>'[5]16_17 fleet_v2'!$D86*'Light Vehicle Supporting Data'!H$144</f>
        <v>924910.46845108876</v>
      </c>
      <c r="I70" s="202">
        <f>'[6]17_18 fleet_v3'!$D87*'Light Vehicle Supporting Data'!I$144</f>
        <v>927817.85640919092</v>
      </c>
      <c r="J70" s="202">
        <f>$I70*('Vehicle Share Diversion Support'!J28/'Vehicle Share Diversion Support'!$I28)</f>
        <v>1017388.904495679</v>
      </c>
      <c r="K70" s="202">
        <f>$I70*('Vehicle Share Diversion Support'!K28/'Vehicle Share Diversion Support'!$I28)</f>
        <v>982598.99284666928</v>
      </c>
      <c r="L70" s="202">
        <f>$I70*('Vehicle Share Diversion Support'!L28/'Vehicle Share Diversion Support'!$I28)</f>
        <v>928591.8020342266</v>
      </c>
      <c r="M70" s="202">
        <f>$I70*('Vehicle Share Diversion Support'!M28/'Vehicle Share Diversion Support'!$I28)</f>
        <v>855491.50325695367</v>
      </c>
      <c r="N70" s="202">
        <f>$I70*('Vehicle Share Diversion Support'!N28/'Vehicle Share Diversion Support'!$I28)</f>
        <v>770546.43206422823</v>
      </c>
      <c r="O70" s="167">
        <f ca="1">$I70*('Vehicle Share Diversion Support'!O28/'Vehicle Share Diversion Support'!$I28)</f>
        <v>663312.03061206127</v>
      </c>
      <c r="P70" s="167">
        <f ca="1">$I70*('Vehicle Share Diversion Support'!P28/'Vehicle Share Diversion Support'!$I28)</f>
        <v>546537.42001886689</v>
      </c>
      <c r="Q70" s="198">
        <f ca="1">$I70*('Vehicle Share Diversion Support'!Q28/'Vehicle Share Diversion Support'!$I28)</f>
        <v>421360.01236502768</v>
      </c>
      <c r="R70" s="56"/>
    </row>
    <row r="71" spans="3:18" ht="15.5" x14ac:dyDescent="0.35">
      <c r="C71" s="24" t="s">
        <v>2</v>
      </c>
      <c r="D71" s="42">
        <f>'[1]12_13 fleet'!$D86*'Light Vehicle Supporting Data'!D$144</f>
        <v>229972.29899136061</v>
      </c>
      <c r="E71" s="43">
        <f>'[2]13_14 fleet'!$D87*'Light Vehicle Supporting Data'!E$144</f>
        <v>237239.51444168735</v>
      </c>
      <c r="F71" s="43">
        <f>'[3]14_15 fleet'!$D87*'Light Vehicle Supporting Data'!F$144</f>
        <v>243697.38217090879</v>
      </c>
      <c r="G71" s="43">
        <f>'[4]15_16 fleet'!$D87*'Light Vehicle Supporting Data'!G$144</f>
        <v>252444.90205198227</v>
      </c>
      <c r="H71" s="43">
        <f>'[5]16_17 fleet_v2'!$D87*'Light Vehicle Supporting Data'!H$144</f>
        <v>260905.10054781975</v>
      </c>
      <c r="I71" s="202">
        <f>'[6]17_18 fleet_v3'!$D88*'Light Vehicle Supporting Data'!I$144</f>
        <v>257633.06332427886</v>
      </c>
      <c r="J71" s="202">
        <f>$I71*('Vehicle Share Diversion Support'!J29/'Vehicle Share Diversion Support'!$I29)</f>
        <v>278941.88466487842</v>
      </c>
      <c r="K71" s="202">
        <f>$I71*('Vehicle Share Diversion Support'!K29/'Vehicle Share Diversion Support'!$I29)</f>
        <v>266010.94217846956</v>
      </c>
      <c r="L71" s="202">
        <f>$I71*('Vehicle Share Diversion Support'!L29/'Vehicle Share Diversion Support'!$I29)</f>
        <v>248221.8479105928</v>
      </c>
      <c r="M71" s="202">
        <f>$I71*('Vehicle Share Diversion Support'!M29/'Vehicle Share Diversion Support'!$I29)</f>
        <v>225258.75600819444</v>
      </c>
      <c r="N71" s="202">
        <f>$I71*('Vehicle Share Diversion Support'!N29/'Vehicle Share Diversion Support'!$I29)</f>
        <v>200184.75055798891</v>
      </c>
      <c r="O71" s="167">
        <f ca="1">$I71*('Vehicle Share Diversion Support'!O29/'Vehicle Share Diversion Support'!$I29)</f>
        <v>169619.36520530289</v>
      </c>
      <c r="P71" s="167">
        <f ca="1">$I71*('Vehicle Share Diversion Support'!P29/'Vehicle Share Diversion Support'!$I29)</f>
        <v>137522.77698846831</v>
      </c>
      <c r="Q71" s="198">
        <f ca="1">$I71*('Vehicle Share Diversion Support'!Q29/'Vehicle Share Diversion Support'!$I29)</f>
        <v>104298.37555210489</v>
      </c>
      <c r="R71" s="56"/>
    </row>
    <row r="72" spans="3:18" ht="15.5" x14ac:dyDescent="0.35">
      <c r="C72" s="24" t="s">
        <v>3</v>
      </c>
      <c r="D72" s="42">
        <f>'[1]12_13 fleet'!$D87*'Light Vehicle Supporting Data'!D$144</f>
        <v>173104.81776982741</v>
      </c>
      <c r="E72" s="43">
        <f>'[2]13_14 fleet'!$D88*'Light Vehicle Supporting Data'!E$144</f>
        <v>176817.7639325062</v>
      </c>
      <c r="F72" s="43">
        <f>'[3]14_15 fleet'!$D88*'Light Vehicle Supporting Data'!F$144</f>
        <v>180752.3423889874</v>
      </c>
      <c r="G72" s="43">
        <f>'[4]15_16 fleet'!$D88*'Light Vehicle Supporting Data'!G$144</f>
        <v>188021.94456318783</v>
      </c>
      <c r="H72" s="43">
        <f>'[5]16_17 fleet_v2'!$D88*'Light Vehicle Supporting Data'!H$144</f>
        <v>195669.79185681714</v>
      </c>
      <c r="I72" s="202">
        <f>'[6]17_18 fleet_v3'!$D89*'Light Vehicle Supporting Data'!I$144</f>
        <v>199529.40520705801</v>
      </c>
      <c r="J72" s="202">
        <f>$I72*('Vehicle Share Diversion Support'!J30/'Vehicle Share Diversion Support'!$I30)</f>
        <v>214426.21001334998</v>
      </c>
      <c r="K72" s="202">
        <f>$I72*('Vehicle Share Diversion Support'!K30/'Vehicle Share Diversion Support'!$I30)</f>
        <v>203134.64747531642</v>
      </c>
      <c r="L72" s="202">
        <f>$I72*('Vehicle Share Diversion Support'!L30/'Vehicle Share Diversion Support'!$I30)</f>
        <v>188449.48550472569</v>
      </c>
      <c r="M72" s="202">
        <f>$I72*('Vehicle Share Diversion Support'!M30/'Vehicle Share Diversion Support'!$I30)</f>
        <v>170338.84002832108</v>
      </c>
      <c r="N72" s="202">
        <f>$I72*('Vehicle Share Diversion Support'!N30/'Vehicle Share Diversion Support'!$I30)</f>
        <v>150905.82121927632</v>
      </c>
      <c r="O72" s="167">
        <f ca="1">$I72*('Vehicle Share Diversion Support'!O30/'Vehicle Share Diversion Support'!$I30)</f>
        <v>126920.92530648751</v>
      </c>
      <c r="P72" s="167">
        <f ca="1">$I72*('Vehicle Share Diversion Support'!P30/'Vehicle Share Diversion Support'!$I30)</f>
        <v>102138.94309488079</v>
      </c>
      <c r="Q72" s="198">
        <f ca="1">$I72*('Vehicle Share Diversion Support'!Q30/'Vehicle Share Diversion Support'!$I30)</f>
        <v>76882.674603091626</v>
      </c>
      <c r="R72" s="56"/>
    </row>
    <row r="73" spans="3:18" ht="15.5" x14ac:dyDescent="0.35">
      <c r="C73" s="24" t="s">
        <v>4</v>
      </c>
      <c r="D73" s="42">
        <f>'[1]12_13 fleet'!$D88*'Light Vehicle Supporting Data'!D$144</f>
        <v>21302.828292035421</v>
      </c>
      <c r="E73" s="43">
        <f>'[2]13_14 fleet'!$D89*'Light Vehicle Supporting Data'!E$144</f>
        <v>21384.701532506202</v>
      </c>
      <c r="F73" s="43">
        <f>'[3]14_15 fleet'!$D89*'Light Vehicle Supporting Data'!F$144</f>
        <v>21573.151616652591</v>
      </c>
      <c r="G73" s="43">
        <f>'[4]15_16 fleet'!$D89*'Light Vehicle Supporting Data'!G$144</f>
        <v>21744.73106150157</v>
      </c>
      <c r="H73" s="43">
        <f>'[5]16_17 fleet_v2'!$D89*'Light Vehicle Supporting Data'!H$144</f>
        <v>22223.546685450561</v>
      </c>
      <c r="I73" s="202">
        <f>'[6]17_18 fleet_v3'!$D90*'Light Vehicle Supporting Data'!I$144</f>
        <v>21550.131226451664</v>
      </c>
      <c r="J73" s="202">
        <f>$I73*('Vehicle Share Diversion Support'!J31/'Vehicle Share Diversion Support'!$I31)</f>
        <v>22405.430840215096</v>
      </c>
      <c r="K73" s="202">
        <f>$I73*('Vehicle Share Diversion Support'!K31/'Vehicle Share Diversion Support'!$I31)</f>
        <v>21034.91849116917</v>
      </c>
      <c r="L73" s="202">
        <f>$I73*('Vehicle Share Diversion Support'!L31/'Vehicle Share Diversion Support'!$I31)</f>
        <v>19238.303573029323</v>
      </c>
      <c r="M73" s="202">
        <f>$I73*('Vehicle Share Diversion Support'!M31/'Vehicle Share Diversion Support'!$I31)</f>
        <v>17151.484846436892</v>
      </c>
      <c r="N73" s="202">
        <f>$I73*('Vehicle Share Diversion Support'!N31/'Vehicle Share Diversion Support'!$I31)</f>
        <v>14985.412130872775</v>
      </c>
      <c r="O73" s="167">
        <f ca="1">$I73*('Vehicle Share Diversion Support'!O31/'Vehicle Share Diversion Support'!$I31)</f>
        <v>12370.638825586155</v>
      </c>
      <c r="P73" s="167">
        <f ca="1">$I73*('Vehicle Share Diversion Support'!P31/'Vehicle Share Diversion Support'!$I31)</f>
        <v>9772.420750706513</v>
      </c>
      <c r="Q73" s="198">
        <f ca="1">$I73*('Vehicle Share Diversion Support'!Q31/'Vehicle Share Diversion Support'!$I31)</f>
        <v>7221.8611159978873</v>
      </c>
      <c r="R73" s="56"/>
    </row>
    <row r="74" spans="3:18" ht="15.5" x14ac:dyDescent="0.35">
      <c r="C74" s="24" t="s">
        <v>5</v>
      </c>
      <c r="D74" s="42">
        <f>'[1]12_13 fleet'!$D89*'Light Vehicle Supporting Data'!D$144</f>
        <v>85144.007240783088</v>
      </c>
      <c r="E74" s="43">
        <f>'[2]13_14 fleet'!$D90*'Light Vehicle Supporting Data'!E$144</f>
        <v>86375.472156823816</v>
      </c>
      <c r="F74" s="43">
        <f>'[3]14_15 fleet'!$D90*'Light Vehicle Supporting Data'!F$144</f>
        <v>87638.229664781684</v>
      </c>
      <c r="G74" s="43">
        <f>'[4]15_16 fleet'!$D90*'Light Vehicle Supporting Data'!G$144</f>
        <v>90478.884190617711</v>
      </c>
      <c r="H74" s="43">
        <f>'[5]16_17 fleet_v2'!$D90*'Light Vehicle Supporting Data'!H$144</f>
        <v>93769.294742851576</v>
      </c>
      <c r="I74" s="202">
        <f>'[6]17_18 fleet_v3'!$D91*'Light Vehicle Supporting Data'!I$144</f>
        <v>92268.524784491761</v>
      </c>
      <c r="J74" s="202">
        <f>$I74*('Vehicle Share Diversion Support'!J32/'Vehicle Share Diversion Support'!$I32)</f>
        <v>98759.509842609827</v>
      </c>
      <c r="K74" s="202">
        <f>$I74*('Vehicle Share Diversion Support'!K32/'Vehicle Share Diversion Support'!$I32)</f>
        <v>93239.250069520116</v>
      </c>
      <c r="L74" s="202">
        <f>$I74*('Vehicle Share Diversion Support'!L32/'Vehicle Share Diversion Support'!$I32)</f>
        <v>86374.276206512572</v>
      </c>
      <c r="M74" s="202">
        <f>$I74*('Vehicle Share Diversion Support'!M32/'Vehicle Share Diversion Support'!$I32)</f>
        <v>77940.915558912064</v>
      </c>
      <c r="N74" s="202">
        <f>$I74*('Vehicle Share Diversion Support'!N32/'Vehicle Share Diversion Support'!$I32)</f>
        <v>68907.889412910547</v>
      </c>
      <c r="O74" s="167">
        <f ca="1">$I74*('Vehicle Share Diversion Support'!O32/'Vehicle Share Diversion Support'!$I32)</f>
        <v>58139.277843909324</v>
      </c>
      <c r="P74" s="167">
        <f ca="1">$I74*('Vehicle Share Diversion Support'!P32/'Vehicle Share Diversion Support'!$I32)</f>
        <v>46970.518266036095</v>
      </c>
      <c r="Q74" s="198">
        <f ca="1">$I74*('Vehicle Share Diversion Support'!Q32/'Vehicle Share Diversion Support'!$I32)</f>
        <v>35521.229041486586</v>
      </c>
      <c r="R74" s="56"/>
    </row>
    <row r="75" spans="3:18" ht="15.5" x14ac:dyDescent="0.35">
      <c r="C75" s="24" t="s">
        <v>6</v>
      </c>
      <c r="D75" s="42">
        <f>'[1]12_13 fleet'!$D90*'Light Vehicle Supporting Data'!D$144</f>
        <v>64027.023673543794</v>
      </c>
      <c r="E75" s="43">
        <f>'[2]13_14 fleet'!$D91*'Light Vehicle Supporting Data'!E$144</f>
        <v>65582.362808933001</v>
      </c>
      <c r="F75" s="43">
        <f>'[3]14_15 fleet'!$D91*'Light Vehicle Supporting Data'!F$144</f>
        <v>66395.458669172644</v>
      </c>
      <c r="G75" s="43">
        <f>'[4]15_16 fleet'!$D91*'Light Vehicle Supporting Data'!G$144</f>
        <v>67472.119379725278</v>
      </c>
      <c r="H75" s="43">
        <f>'[5]16_17 fleet_v2'!$D91*'Light Vehicle Supporting Data'!H$144</f>
        <v>68671.070413792768</v>
      </c>
      <c r="I75" s="202">
        <f>'[6]17_18 fleet_v3'!$D92*'Light Vehicle Supporting Data'!I$144</f>
        <v>69835.191458595364</v>
      </c>
      <c r="J75" s="202">
        <f>$I75*('Vehicle Share Diversion Support'!J33/'Vehicle Share Diversion Support'!$I33)</f>
        <v>75656.834034235289</v>
      </c>
      <c r="K75" s="202">
        <f>$I75*('Vehicle Share Diversion Support'!K33/'Vehicle Share Diversion Support'!$I33)</f>
        <v>72326.077304974009</v>
      </c>
      <c r="L75" s="202">
        <f>$I75*('Vehicle Share Diversion Support'!L33/'Vehicle Share Diversion Support'!$I33)</f>
        <v>67383.145514475225</v>
      </c>
      <c r="M75" s="202">
        <f>$I75*('Vehicle Share Diversion Support'!M33/'Vehicle Share Diversion Support'!$I33)</f>
        <v>61462.035127633921</v>
      </c>
      <c r="N75" s="202">
        <f>$I75*('Vehicle Share Diversion Support'!N33/'Vehicle Share Diversion Support'!$I33)</f>
        <v>54899.595892382822</v>
      </c>
      <c r="O75" s="167">
        <f ca="1">$I75*('Vehicle Share Diversion Support'!O33/'Vehicle Share Diversion Support'!$I33)</f>
        <v>46711.140397684743</v>
      </c>
      <c r="P75" s="167">
        <f ca="1">$I75*('Vehicle Share Diversion Support'!P33/'Vehicle Share Diversion Support'!$I33)</f>
        <v>38049.131402162166</v>
      </c>
      <c r="Q75" s="198">
        <f ca="1">$I75*('Vehicle Share Diversion Support'!Q33/'Vehicle Share Diversion Support'!$I33)</f>
        <v>29006.32638462324</v>
      </c>
      <c r="R75" s="56"/>
    </row>
    <row r="76" spans="3:18" ht="15.5" x14ac:dyDescent="0.35">
      <c r="C76" s="24" t="s">
        <v>7</v>
      </c>
      <c r="D76" s="42">
        <f>'[1]12_13 fleet'!$D91*'Light Vehicle Supporting Data'!D$144</f>
        <v>127552.76887317804</v>
      </c>
      <c r="E76" s="43">
        <f>'[2]13_14 fleet'!$D92*'Light Vehicle Supporting Data'!E$144</f>
        <v>129292.52216774193</v>
      </c>
      <c r="F76" s="43">
        <f>'[3]14_15 fleet'!$D92*'Light Vehicle Supporting Data'!F$144</f>
        <v>132106.05538226108</v>
      </c>
      <c r="G76" s="43">
        <f>'[4]15_16 fleet'!$D92*'Light Vehicle Supporting Data'!G$144</f>
        <v>135330.7805204016</v>
      </c>
      <c r="H76" s="43">
        <f>'[5]16_17 fleet_v2'!$D92*'Light Vehicle Supporting Data'!H$144</f>
        <v>139271.30648087291</v>
      </c>
      <c r="I76" s="202">
        <f>'[6]17_18 fleet_v3'!$D93*'Light Vehicle Supporting Data'!I$144</f>
        <v>138267.29594557284</v>
      </c>
      <c r="J76" s="202">
        <f>$I76*('Vehicle Share Diversion Support'!J34/'Vehicle Share Diversion Support'!$I34)</f>
        <v>145900.68949952128</v>
      </c>
      <c r="K76" s="202">
        <f>$I76*('Vehicle Share Diversion Support'!K34/'Vehicle Share Diversion Support'!$I34)</f>
        <v>136252.56865819442</v>
      </c>
      <c r="L76" s="202">
        <f>$I76*('Vehicle Share Diversion Support'!L34/'Vehicle Share Diversion Support'!$I34)</f>
        <v>125048.31201796039</v>
      </c>
      <c r="M76" s="202">
        <f>$I76*('Vehicle Share Diversion Support'!M34/'Vehicle Share Diversion Support'!$I34)</f>
        <v>111609.21859138337</v>
      </c>
      <c r="N76" s="202">
        <f>$I76*('Vehicle Share Diversion Support'!N34/'Vehicle Share Diversion Support'!$I34)</f>
        <v>97648.612507908285</v>
      </c>
      <c r="O76" s="167">
        <f ca="1">$I76*('Vehicle Share Diversion Support'!O34/'Vehicle Share Diversion Support'!$I34)</f>
        <v>81464.122105123417</v>
      </c>
      <c r="P76" s="167">
        <f ca="1">$I76*('Vehicle Share Diversion Support'!P34/'Vehicle Share Diversion Support'!$I34)</f>
        <v>65072.309957684643</v>
      </c>
      <c r="Q76" s="198">
        <f ca="1">$I76*('Vehicle Share Diversion Support'!Q34/'Vehicle Share Diversion Support'!$I34)</f>
        <v>48653.538433221911</v>
      </c>
      <c r="R76" s="56"/>
    </row>
    <row r="77" spans="3:18" ht="15.5" x14ac:dyDescent="0.35">
      <c r="C77" s="24" t="s">
        <v>8</v>
      </c>
      <c r="D77" s="42">
        <f>'[1]12_13 fleet'!$D92*'Light Vehicle Supporting Data'!D$144</f>
        <v>243585.17394115651</v>
      </c>
      <c r="E77" s="43">
        <f>'[2]13_14 fleet'!$D93*'Light Vehicle Supporting Data'!E$144</f>
        <v>247599.91067990076</v>
      </c>
      <c r="F77" s="43">
        <f>'[3]14_15 fleet'!$D93*'Light Vehicle Supporting Data'!F$144</f>
        <v>253161.9333968526</v>
      </c>
      <c r="G77" s="43">
        <f>'[4]15_16 fleet'!$D93*'Light Vehicle Supporting Data'!G$144</f>
        <v>259423.73784515326</v>
      </c>
      <c r="H77" s="43">
        <f>'[5]16_17 fleet_v2'!$D93*'Light Vehicle Supporting Data'!H$144</f>
        <v>267454.42723236716</v>
      </c>
      <c r="I77" s="202">
        <f>'[6]17_18 fleet_v3'!$D94*'Light Vehicle Supporting Data'!I$144</f>
        <v>270998.52054962615</v>
      </c>
      <c r="J77" s="202">
        <f>$I77*('Vehicle Share Diversion Support'!J35/'Vehicle Share Diversion Support'!$I35)</f>
        <v>292438.22842700011</v>
      </c>
      <c r="K77" s="202">
        <f>$I77*('Vehicle Share Diversion Support'!K35/'Vehicle Share Diversion Support'!$I35)</f>
        <v>279256.7940336371</v>
      </c>
      <c r="L77" s="202">
        <f>$I77*('Vehicle Share Diversion Support'!L35/'Vehicle Share Diversion Support'!$I35)</f>
        <v>260217.38258922187</v>
      </c>
      <c r="M77" s="202">
        <f>$I77*('Vehicle Share Diversion Support'!M35/'Vehicle Share Diversion Support'!$I35)</f>
        <v>237159.86161545257</v>
      </c>
      <c r="N77" s="202">
        <f>$I77*('Vehicle Share Diversion Support'!N35/'Vehicle Share Diversion Support'!$I35)</f>
        <v>211535.23634579396</v>
      </c>
      <c r="O77" s="167">
        <f ca="1">$I77*('Vehicle Share Diversion Support'!O35/'Vehicle Share Diversion Support'!$I35)</f>
        <v>180166.70323566292</v>
      </c>
      <c r="P77" s="167">
        <f ca="1">$I77*('Vehicle Share Diversion Support'!P35/'Vehicle Share Diversion Support'!$I35)</f>
        <v>146877.67367943318</v>
      </c>
      <c r="Q77" s="198">
        <f ca="1">$I77*('Vehicle Share Diversion Support'!Q35/'Vehicle Share Diversion Support'!$I35)</f>
        <v>112041.63620402507</v>
      </c>
      <c r="R77" s="56"/>
    </row>
    <row r="78" spans="3:18" ht="15.5" x14ac:dyDescent="0.35">
      <c r="C78" s="24" t="s">
        <v>9</v>
      </c>
      <c r="D78" s="42">
        <f>'[1]12_13 fleet'!$D93*'Light Vehicle Supporting Data'!D$144</f>
        <v>88461.084436873862</v>
      </c>
      <c r="E78" s="43">
        <f>'[2]13_14 fleet'!$D94*'Light Vehicle Supporting Data'!E$144</f>
        <v>90791.823321091812</v>
      </c>
      <c r="F78" s="43">
        <f>'[3]14_15 fleet'!$D94*'Light Vehicle Supporting Data'!F$144</f>
        <v>93991.780392266708</v>
      </c>
      <c r="G78" s="43">
        <f>'[4]15_16 fleet'!$D94*'Light Vehicle Supporting Data'!G$144</f>
        <v>99987.811510013838</v>
      </c>
      <c r="H78" s="43">
        <f>'[5]16_17 fleet_v2'!$D94*'Light Vehicle Supporting Data'!H$144</f>
        <v>105916.41375226049</v>
      </c>
      <c r="I78" s="202">
        <f>'[6]17_18 fleet_v3'!$D95*'Light Vehicle Supporting Data'!I$144</f>
        <v>108900.82613903521</v>
      </c>
      <c r="J78" s="202">
        <f>$I78*('Vehicle Share Diversion Support'!J36/'Vehicle Share Diversion Support'!$I36)</f>
        <v>115013.09370685984</v>
      </c>
      <c r="K78" s="202">
        <f>$I78*('Vehicle Share Diversion Support'!K36/'Vehicle Share Diversion Support'!$I36)</f>
        <v>107903.98460811462</v>
      </c>
      <c r="L78" s="202">
        <f>$I78*('Vehicle Share Diversion Support'!L36/'Vehicle Share Diversion Support'!$I36)</f>
        <v>98677.810762340581</v>
      </c>
      <c r="M78" s="202">
        <f>$I78*('Vehicle Share Diversion Support'!M36/'Vehicle Share Diversion Support'!$I36)</f>
        <v>87518.089073113908</v>
      </c>
      <c r="N78" s="202">
        <f>$I78*('Vehicle Share Diversion Support'!N36/'Vehicle Share Diversion Support'!$I36)</f>
        <v>76062.613867969034</v>
      </c>
      <c r="O78" s="167">
        <f ca="1">$I78*('Vehicle Share Diversion Support'!O36/'Vehicle Share Diversion Support'!$I36)</f>
        <v>63289.014333393534</v>
      </c>
      <c r="P78" s="167">
        <f ca="1">$I78*('Vehicle Share Diversion Support'!P36/'Vehicle Share Diversion Support'!$I36)</f>
        <v>50395.587864553803</v>
      </c>
      <c r="Q78" s="198">
        <f ca="1">$I78*('Vehicle Share Diversion Support'!Q36/'Vehicle Share Diversion Support'!$I36)</f>
        <v>37541.720336903432</v>
      </c>
      <c r="R78" s="56"/>
    </row>
    <row r="79" spans="3:18" ht="15.5" x14ac:dyDescent="0.35">
      <c r="C79" s="24" t="s">
        <v>10</v>
      </c>
      <c r="D79" s="42">
        <f>'[1]12_13 fleet'!$D94*'Light Vehicle Supporting Data'!D$144</f>
        <v>18404.655151295905</v>
      </c>
      <c r="E79" s="43">
        <f>'[2]13_14 fleet'!$D95*'Light Vehicle Supporting Data'!E$144</f>
        <v>18517.136698759306</v>
      </c>
      <c r="F79" s="43">
        <f>'[3]14_15 fleet'!$D95*'Light Vehicle Supporting Data'!F$144</f>
        <v>18285.412548881766</v>
      </c>
      <c r="G79" s="43">
        <f>'[4]15_16 fleet'!$D95*'Light Vehicle Supporting Data'!G$144</f>
        <v>18242.763107742336</v>
      </c>
      <c r="H79" s="43">
        <f>'[5]16_17 fleet_v2'!$D95*'Light Vehicle Supporting Data'!H$144</f>
        <v>18317.036423954982</v>
      </c>
      <c r="I79" s="202">
        <f>'[6]17_18 fleet_v3'!$D96*'Light Vehicle Supporting Data'!I$144</f>
        <v>18381.643694693659</v>
      </c>
      <c r="J79" s="202">
        <f>$I79*('Vehicle Share Diversion Support'!J37/'Vehicle Share Diversion Support'!$I37)</f>
        <v>18603.040077830479</v>
      </c>
      <c r="K79" s="202">
        <f>$I79*('Vehicle Share Diversion Support'!K37/'Vehicle Share Diversion Support'!$I37)</f>
        <v>16985.618298059049</v>
      </c>
      <c r="L79" s="202">
        <f>$I79*('Vehicle Share Diversion Support'!L37/'Vehicle Share Diversion Support'!$I37)</f>
        <v>14900.306887484856</v>
      </c>
      <c r="M79" s="202">
        <f>$I79*('Vehicle Share Diversion Support'!M37/'Vehicle Share Diversion Support'!$I37)</f>
        <v>12929.674008145823</v>
      </c>
      <c r="N79" s="202">
        <f>$I79*('Vehicle Share Diversion Support'!N37/'Vehicle Share Diversion Support'!$I37)</f>
        <v>11013.86769904235</v>
      </c>
      <c r="O79" s="167">
        <f ca="1">$I79*('Vehicle Share Diversion Support'!O37/'Vehicle Share Diversion Support'!$I37)</f>
        <v>8942.18296555288</v>
      </c>
      <c r="P79" s="167">
        <f ca="1">$I79*('Vehicle Share Diversion Support'!P37/'Vehicle Share Diversion Support'!$I37)</f>
        <v>6947.5845704551793</v>
      </c>
      <c r="Q79" s="198">
        <f ca="1">$I79*('Vehicle Share Diversion Support'!Q37/'Vehicle Share Diversion Support'!$I37)</f>
        <v>5049.6476746378376</v>
      </c>
      <c r="R79" s="56"/>
    </row>
    <row r="80" spans="3:18" ht="15.5" x14ac:dyDescent="0.35">
      <c r="C80" s="24" t="s">
        <v>11</v>
      </c>
      <c r="D80" s="42">
        <f>'[1]12_13 fleet'!$D95*'Light Vehicle Supporting Data'!D$144</f>
        <v>370859.67801018036</v>
      </c>
      <c r="E80" s="43">
        <f>'[2]13_14 fleet'!$D96*'Light Vehicle Supporting Data'!E$144</f>
        <v>379657.54878014891</v>
      </c>
      <c r="F80" s="43">
        <f>'[3]14_15 fleet'!$D96*'Light Vehicle Supporting Data'!F$144</f>
        <v>392411.84208642022</v>
      </c>
      <c r="G80" s="43">
        <f>'[4]15_16 fleet'!$D96*'Light Vehicle Supporting Data'!G$144</f>
        <v>404519.4668512952</v>
      </c>
      <c r="H80" s="43">
        <f>'[5]16_17 fleet_v2'!$D96*'Light Vehicle Supporting Data'!H$144</f>
        <v>414824.81678107358</v>
      </c>
      <c r="I80" s="202">
        <f>'[6]17_18 fleet_v3'!$D97*'Light Vehicle Supporting Data'!I$144</f>
        <v>414951.43001037446</v>
      </c>
      <c r="J80" s="202">
        <f>$I80*('Vehicle Share Diversion Support'!J38/'Vehicle Share Diversion Support'!$I38)</f>
        <v>457217.59439092467</v>
      </c>
      <c r="K80" s="202">
        <f>$I80*('Vehicle Share Diversion Support'!K38/'Vehicle Share Diversion Support'!$I38)</f>
        <v>443158.30133659544</v>
      </c>
      <c r="L80" s="202">
        <f>$I80*('Vehicle Share Diversion Support'!L38/'Vehicle Share Diversion Support'!$I38)</f>
        <v>419472.72233132861</v>
      </c>
      <c r="M80" s="202">
        <f>$I80*('Vehicle Share Diversion Support'!M38/'Vehicle Share Diversion Support'!$I38)</f>
        <v>386641.27069320035</v>
      </c>
      <c r="N80" s="202">
        <f>$I80*('Vehicle Share Diversion Support'!N38/'Vehicle Share Diversion Support'!$I38)</f>
        <v>348497.12205887295</v>
      </c>
      <c r="O80" s="167">
        <f ca="1">$I80*('Vehicle Share Diversion Support'!O38/'Vehicle Share Diversion Support'!$I38)</f>
        <v>300221.81199859455</v>
      </c>
      <c r="P80" s="167">
        <f ca="1">$I80*('Vehicle Share Diversion Support'!P38/'Vehicle Share Diversion Support'!$I38)</f>
        <v>247518.57175714377</v>
      </c>
      <c r="Q80" s="198">
        <f ca="1">$I80*('Vehicle Share Diversion Support'!Q38/'Vehicle Share Diversion Support'!$I38)</f>
        <v>190917.35727189091</v>
      </c>
      <c r="R80" s="56"/>
    </row>
    <row r="81" spans="3:27" ht="15.5" x14ac:dyDescent="0.35">
      <c r="C81" s="24" t="s">
        <v>12</v>
      </c>
      <c r="D81" s="42">
        <f>'[1]12_13 fleet'!$D96*'Light Vehicle Supporting Data'!D$144</f>
        <v>110735.32812824901</v>
      </c>
      <c r="E81" s="43">
        <f>'[2]13_14 fleet'!$D97*'Light Vehicle Supporting Data'!E$144</f>
        <v>113331.58599503723</v>
      </c>
      <c r="F81" s="43">
        <f>'[3]14_15 fleet'!$D97*'Light Vehicle Supporting Data'!F$144</f>
        <v>115988.70289670161</v>
      </c>
      <c r="G81" s="43">
        <f>'[4]15_16 fleet'!$D97*'Light Vehicle Supporting Data'!G$144</f>
        <v>119858.06603204623</v>
      </c>
      <c r="H81" s="43">
        <f>'[5]16_17 fleet_v2'!$D97*'Light Vehicle Supporting Data'!H$144</f>
        <v>129866.37298904003</v>
      </c>
      <c r="I81" s="202">
        <f>'[6]17_18 fleet_v3'!$D98*'Light Vehicle Supporting Data'!I$144</f>
        <v>194406.8330302785</v>
      </c>
      <c r="J81" s="202">
        <f>$I81*('Vehicle Share Diversion Support'!J39/'Vehicle Share Diversion Support'!$I39)</f>
        <v>213237.01587909425</v>
      </c>
      <c r="K81" s="202">
        <f>$I81*('Vehicle Share Diversion Support'!K39/'Vehicle Share Diversion Support'!$I39)</f>
        <v>205851.5606150417</v>
      </c>
      <c r="L81" s="202">
        <f>$I81*('Vehicle Share Diversion Support'!L39/'Vehicle Share Diversion Support'!$I39)</f>
        <v>193794.84190387145</v>
      </c>
      <c r="M81" s="202">
        <f>$I81*('Vehicle Share Diversion Support'!M39/'Vehicle Share Diversion Support'!$I39)</f>
        <v>177851.43146268098</v>
      </c>
      <c r="N81" s="202">
        <f>$I81*('Vehicle Share Diversion Support'!N39/'Vehicle Share Diversion Support'!$I39)</f>
        <v>159629.00594320288</v>
      </c>
      <c r="O81" s="167">
        <f ca="1">$I81*('Vehicle Share Diversion Support'!O39/'Vehicle Share Diversion Support'!$I39)</f>
        <v>136863.03408989045</v>
      </c>
      <c r="P81" s="167">
        <f ca="1">$I81*('Vehicle Share Diversion Support'!P39/'Vehicle Share Diversion Support'!$I39)</f>
        <v>112295.97022969228</v>
      </c>
      <c r="Q81" s="198">
        <f ca="1">$I81*('Vehicle Share Diversion Support'!Q39/'Vehicle Share Diversion Support'!$I39)</f>
        <v>86198.254075877136</v>
      </c>
      <c r="R81" s="56"/>
    </row>
    <row r="82" spans="3:27" ht="16" thickBot="1" x14ac:dyDescent="0.4">
      <c r="C82" s="25" t="s">
        <v>13</v>
      </c>
      <c r="D82" s="45">
        <f>'[1]12_13 fleet'!$D97*'Light Vehicle Supporting Data'!D$144</f>
        <v>60863.645087689809</v>
      </c>
      <c r="E82" s="46">
        <f>'[2]13_14 fleet'!$D98*'Light Vehicle Supporting Data'!E$144</f>
        <v>61543.666417866007</v>
      </c>
      <c r="F82" s="46">
        <f>'[3]14_15 fleet'!$D98*'Light Vehicle Supporting Data'!F$144</f>
        <v>62517.252108472916</v>
      </c>
      <c r="G82" s="46">
        <f>'[4]15_16 fleet'!$D98*'Light Vehicle Supporting Data'!G$144</f>
        <v>63979.187467131131</v>
      </c>
      <c r="H82" s="46">
        <f>'[5]16_17 fleet_v2'!$D98*'Light Vehicle Supporting Data'!H$144</f>
        <v>65200.178203039497</v>
      </c>
      <c r="I82" s="203">
        <f>'[6]17_18 fleet_v3'!$D99*'Light Vehicle Supporting Data'!I$144</f>
        <v>65331.864390176561</v>
      </c>
      <c r="J82" s="203">
        <f>$I82*('Vehicle Share Diversion Support'!J40/'Vehicle Share Diversion Support'!$I40)</f>
        <v>67397.31316543078</v>
      </c>
      <c r="K82" s="203">
        <f>$I82*('Vehicle Share Diversion Support'!K40/'Vehicle Share Diversion Support'!$I40)</f>
        <v>62115.077946891506</v>
      </c>
      <c r="L82" s="203">
        <f>$I82*('Vehicle Share Diversion Support'!L40/'Vehicle Share Diversion Support'!$I40)</f>
        <v>56185.240802014574</v>
      </c>
      <c r="M82" s="203">
        <f>$I82*('Vehicle Share Diversion Support'!M40/'Vehicle Share Diversion Support'!$I40)</f>
        <v>49506.558778707098</v>
      </c>
      <c r="N82" s="203">
        <f>$I82*('Vehicle Share Diversion Support'!N40/'Vehicle Share Diversion Support'!$I40)</f>
        <v>42694.709721487139</v>
      </c>
      <c r="O82" s="171">
        <f ca="1">$I82*('Vehicle Share Diversion Support'!O40/'Vehicle Share Diversion Support'!$I40)</f>
        <v>35102.32373149573</v>
      </c>
      <c r="P82" s="171">
        <f ca="1">$I82*('Vehicle Share Diversion Support'!P40/'Vehicle Share Diversion Support'!$I40)</f>
        <v>27617.493670247859</v>
      </c>
      <c r="Q82" s="199">
        <f ca="1">$I82*('Vehicle Share Diversion Support'!Q40/'Vehicle Share Diversion Support'!$I40)</f>
        <v>20326.827624380323</v>
      </c>
      <c r="R82" s="56"/>
    </row>
    <row r="83" spans="3:27" ht="16.5" thickTop="1" thickBot="1" x14ac:dyDescent="0.4">
      <c r="C83" s="20" t="s">
        <v>24</v>
      </c>
      <c r="D83" s="48">
        <f t="shared" ref="D83:Q83" si="35">SUM(D69:D82)</f>
        <v>2468689.9999999995</v>
      </c>
      <c r="E83" s="48">
        <f t="shared" si="35"/>
        <v>2529835</v>
      </c>
      <c r="F83" s="48">
        <f t="shared" si="35"/>
        <v>2616968.9999999995</v>
      </c>
      <c r="G83" s="48">
        <f t="shared" si="35"/>
        <v>2705209.0000000005</v>
      </c>
      <c r="H83" s="48">
        <f t="shared" si="35"/>
        <v>2800737.0000000005</v>
      </c>
      <c r="I83" s="48">
        <f t="shared" si="35"/>
        <v>2879006</v>
      </c>
      <c r="J83" s="48">
        <f t="shared" si="35"/>
        <v>3124367.9571008882</v>
      </c>
      <c r="K83" s="48">
        <f t="shared" si="35"/>
        <v>2991646.93494714</v>
      </c>
      <c r="L83" s="48">
        <f t="shared" si="35"/>
        <v>2801321.8307547108</v>
      </c>
      <c r="M83" s="48">
        <f t="shared" si="35"/>
        <v>2556709.8001822326</v>
      </c>
      <c r="N83" s="48">
        <f t="shared" si="35"/>
        <v>2283601.8261399269</v>
      </c>
      <c r="O83" s="62">
        <f t="shared" ca="1" si="35"/>
        <v>1947409.704319678</v>
      </c>
      <c r="P83" s="62">
        <f t="shared" ca="1" si="35"/>
        <v>1589713.2452438772</v>
      </c>
      <c r="Q83" s="63">
        <f t="shared" ca="1" si="35"/>
        <v>1214378.4778572537</v>
      </c>
      <c r="R83" s="43"/>
    </row>
    <row r="84" spans="3:27" ht="16.5" thickTop="1" thickBot="1" x14ac:dyDescent="0.4">
      <c r="C84" s="31" t="s">
        <v>96</v>
      </c>
      <c r="D84" s="48">
        <f>SUM('[1]12_13 fleet'!$D$83:$D$97)</f>
        <v>2468690</v>
      </c>
      <c r="E84" s="48">
        <f>SUM('[2]13_14 fleet'!$D$84:$D$98)</f>
        <v>2529835</v>
      </c>
      <c r="F84" s="48">
        <f>SUM('[3]14_15 fleet'!$D$84:$D$98)</f>
        <v>2616969</v>
      </c>
      <c r="G84" s="48">
        <f>SUM('[4]15_16 fleet'!$D$84:$D$98)</f>
        <v>2705209</v>
      </c>
      <c r="H84" s="48">
        <f>SUM('[5]16_17 fleet_v2'!$D$84:$D$98)</f>
        <v>2800737</v>
      </c>
      <c r="I84" s="48">
        <f>SUM('[6]17_18 fleet_v3'!$D$85:$D$99)</f>
        <v>2879006</v>
      </c>
      <c r="J84" s="62"/>
      <c r="K84" s="62"/>
      <c r="L84" s="62"/>
      <c r="M84" s="62"/>
      <c r="N84" s="62"/>
      <c r="O84" s="62"/>
      <c r="P84" s="62"/>
      <c r="Q84" s="63"/>
      <c r="R84" s="56"/>
    </row>
    <row r="85" spans="3:27" ht="13" thickTop="1" x14ac:dyDescent="0.25">
      <c r="N85" s="121"/>
    </row>
    <row r="86" spans="3:27" ht="13" thickBot="1" x14ac:dyDescent="0.3">
      <c r="N86" s="121"/>
    </row>
    <row r="87" spans="3:27" ht="16" thickTop="1" x14ac:dyDescent="0.35">
      <c r="C87" s="32" t="s">
        <v>124</v>
      </c>
      <c r="D87" s="33"/>
      <c r="E87" s="33"/>
      <c r="F87" s="33"/>
      <c r="G87" s="33"/>
      <c r="H87" s="33"/>
      <c r="I87" s="33"/>
      <c r="J87" s="34"/>
      <c r="K87" s="34"/>
      <c r="L87" s="34"/>
      <c r="M87" s="34"/>
      <c r="N87" s="34"/>
      <c r="O87" s="34"/>
      <c r="P87" s="34"/>
      <c r="Q87" s="35"/>
      <c r="R87" s="121"/>
    </row>
    <row r="88" spans="3:27" ht="13.5" thickBot="1" x14ac:dyDescent="0.35">
      <c r="C88" s="36"/>
      <c r="D88" s="37" t="s">
        <v>25</v>
      </c>
      <c r="E88" s="37" t="s">
        <v>37</v>
      </c>
      <c r="F88" s="37" t="s">
        <v>38</v>
      </c>
      <c r="G88" s="37" t="s">
        <v>177</v>
      </c>
      <c r="H88" s="37" t="s">
        <v>178</v>
      </c>
      <c r="I88" s="37" t="s">
        <v>26</v>
      </c>
      <c r="J88" s="37" t="s">
        <v>27</v>
      </c>
      <c r="K88" s="37" t="s">
        <v>28</v>
      </c>
      <c r="L88" s="37" t="s">
        <v>29</v>
      </c>
      <c r="M88" s="37" t="s">
        <v>30</v>
      </c>
      <c r="N88" s="37" t="s">
        <v>31</v>
      </c>
      <c r="O88" s="37" t="s">
        <v>174</v>
      </c>
      <c r="P88" s="37" t="s">
        <v>175</v>
      </c>
      <c r="Q88" s="38" t="s">
        <v>176</v>
      </c>
      <c r="R88" s="65"/>
    </row>
    <row r="89" spans="3:27" ht="14" thickTop="1" thickBot="1" x14ac:dyDescent="0.35">
      <c r="C89" s="70"/>
      <c r="D89" s="65" t="s">
        <v>39</v>
      </c>
      <c r="E89" s="65" t="s">
        <v>39</v>
      </c>
      <c r="F89" s="65" t="s">
        <v>39</v>
      </c>
      <c r="G89" s="65" t="s">
        <v>39</v>
      </c>
      <c r="H89" s="65" t="s">
        <v>39</v>
      </c>
      <c r="I89" s="65" t="s">
        <v>39</v>
      </c>
      <c r="J89" s="65" t="s">
        <v>32</v>
      </c>
      <c r="K89" s="65" t="s">
        <v>32</v>
      </c>
      <c r="L89" s="65" t="s">
        <v>32</v>
      </c>
      <c r="M89" s="65" t="s">
        <v>32</v>
      </c>
      <c r="N89" s="65" t="s">
        <v>32</v>
      </c>
      <c r="O89" s="65" t="s">
        <v>32</v>
      </c>
      <c r="P89" s="65" t="s">
        <v>32</v>
      </c>
      <c r="Q89" s="66" t="s">
        <v>32</v>
      </c>
      <c r="R89" s="65"/>
    </row>
    <row r="90" spans="3:27" ht="16" thickTop="1" x14ac:dyDescent="0.35">
      <c r="C90" s="24" t="s">
        <v>0</v>
      </c>
      <c r="D90" s="52">
        <f>'Vehicle Share Diversion Support'!D66</f>
        <v>141.26262811366777</v>
      </c>
      <c r="E90" s="53">
        <f>'Vehicle Share Diversion Support'!E66</f>
        <v>147.36766217047045</v>
      </c>
      <c r="F90" s="53">
        <f>'Vehicle Share Diversion Support'!F66</f>
        <v>143.20240717260239</v>
      </c>
      <c r="G90" s="53">
        <f>'Vehicle Share Diversion Support'!G66</f>
        <v>137.36004809687591</v>
      </c>
      <c r="H90" s="53">
        <f>'Vehicle Share Diversion Support'!H66</f>
        <v>148.84539602487905</v>
      </c>
      <c r="I90" s="53">
        <f>'Vehicle Share Diversion Support'!I66</f>
        <v>160.16504361467284</v>
      </c>
      <c r="J90" s="53">
        <f>'Vehicle Share Diversion Support'!J66*(1-'Vehicle Share Diversion Support'!J106)</f>
        <v>183.0389720209582</v>
      </c>
      <c r="K90" s="53">
        <f>'Vehicle Share Diversion Support'!K66*(1-'Vehicle Share Diversion Support'!K106)</f>
        <v>204.05931992026473</v>
      </c>
      <c r="L90" s="53">
        <f>'Vehicle Share Diversion Support'!L66*(1-'Vehicle Share Diversion Support'!L106)</f>
        <v>224.82589584782397</v>
      </c>
      <c r="M90" s="53">
        <f>'Vehicle Share Diversion Support'!M66*(1-'Vehicle Share Diversion Support'!M106)</f>
        <v>246.84850920055862</v>
      </c>
      <c r="N90" s="53">
        <f>'Vehicle Share Diversion Support'!N66*(1-'Vehicle Share Diversion Support'!N106)</f>
        <v>270.71623594436886</v>
      </c>
      <c r="O90" s="156">
        <f>'Vehicle Share Diversion Support'!O66*(1-'Vehicle Share Diversion Support'!O106)</f>
        <v>296.10446109063452</v>
      </c>
      <c r="P90" s="156">
        <f>'Vehicle Share Diversion Support'!P66*(1-'Vehicle Share Diversion Support'!P106)</f>
        <v>321.31739921995842</v>
      </c>
      <c r="Q90" s="157">
        <f>'Vehicle Share Diversion Support'!Q66*(1-'Vehicle Share Diversion Support'!Q106)</f>
        <v>345.30070279198259</v>
      </c>
      <c r="R90" s="56"/>
      <c r="S90" s="56"/>
      <c r="T90" s="56"/>
      <c r="U90" s="56"/>
      <c r="V90" s="56"/>
      <c r="W90" s="56"/>
      <c r="X90" s="56"/>
      <c r="Y90" s="56"/>
      <c r="Z90" s="56"/>
      <c r="AA90" s="56"/>
    </row>
    <row r="91" spans="3:27" ht="15.5" x14ac:dyDescent="0.35">
      <c r="C91" s="24" t="s">
        <v>1</v>
      </c>
      <c r="D91" s="55">
        <f>'Vehicle Share Diversion Support'!D67</f>
        <v>1779.3694813204588</v>
      </c>
      <c r="E91" s="56">
        <f>'Vehicle Share Diversion Support'!E67</f>
        <v>1805.4590989449773</v>
      </c>
      <c r="F91" s="56">
        <f>'Vehicle Share Diversion Support'!F67</f>
        <v>1750.6526443500418</v>
      </c>
      <c r="G91" s="56">
        <f>'Vehicle Share Diversion Support'!G67</f>
        <v>1708.7235604575023</v>
      </c>
      <c r="H91" s="56">
        <f>'Vehicle Share Diversion Support'!H67</f>
        <v>1971.5374283486256</v>
      </c>
      <c r="I91" s="56">
        <f>'Vehicle Share Diversion Support'!I67</f>
        <v>1942.9376425785542</v>
      </c>
      <c r="J91" s="56">
        <f>'Vehicle Share Diversion Support'!J67*(1-'Vehicle Share Diversion Support'!J107)</f>
        <v>2267.5998841807441</v>
      </c>
      <c r="K91" s="56">
        <f>'Vehicle Share Diversion Support'!K67*(1-'Vehicle Share Diversion Support'!K107)</f>
        <v>2570.1755038075717</v>
      </c>
      <c r="L91" s="56">
        <f>'Vehicle Share Diversion Support'!L67*(1-'Vehicle Share Diversion Support'!L107)</f>
        <v>2882.8304078636829</v>
      </c>
      <c r="M91" s="56">
        <f>'Vehicle Share Diversion Support'!M67*(1-'Vehicle Share Diversion Support'!M107)</f>
        <v>3222.4791186225571</v>
      </c>
      <c r="N91" s="56">
        <f>'Vehicle Share Diversion Support'!N67*(1-'Vehicle Share Diversion Support'!N107)</f>
        <v>3601.4160724708931</v>
      </c>
      <c r="O91" s="159">
        <f>'Vehicle Share Diversion Support'!O67*(1-'Vehicle Share Diversion Support'!O107)</f>
        <v>4013.5700474260807</v>
      </c>
      <c r="P91" s="159">
        <f>'Vehicle Share Diversion Support'!P67*(1-'Vehicle Share Diversion Support'!P107)</f>
        <v>4436.7938895727839</v>
      </c>
      <c r="Q91" s="160">
        <f>'Vehicle Share Diversion Support'!Q67*(1-'Vehicle Share Diversion Support'!Q107)</f>
        <v>4856.2229823472871</v>
      </c>
      <c r="R91" s="56"/>
      <c r="S91" s="56"/>
      <c r="T91" s="56"/>
      <c r="U91" s="56"/>
      <c r="V91" s="56"/>
      <c r="W91" s="56"/>
      <c r="X91" s="56"/>
      <c r="Y91" s="56"/>
      <c r="Z91" s="56"/>
      <c r="AA91" s="56"/>
    </row>
    <row r="92" spans="3:27" ht="15.5" x14ac:dyDescent="0.35">
      <c r="C92" s="24" t="s">
        <v>2</v>
      </c>
      <c r="D92" s="55">
        <f>'Vehicle Share Diversion Support'!D68</f>
        <v>560.07858504956528</v>
      </c>
      <c r="E92" s="56">
        <f>'Vehicle Share Diversion Support'!E68</f>
        <v>547.56847646451286</v>
      </c>
      <c r="F92" s="56">
        <f>'Vehicle Share Diversion Support'!F68</f>
        <v>555.21567584297941</v>
      </c>
      <c r="G92" s="56">
        <f>'Vehicle Share Diversion Support'!G68</f>
        <v>544.95563258312256</v>
      </c>
      <c r="H92" s="56">
        <f>'Vehicle Share Diversion Support'!H68</f>
        <v>594.57170798494383</v>
      </c>
      <c r="I92" s="56">
        <f>'Vehicle Share Diversion Support'!I68</f>
        <v>617.0442433127298</v>
      </c>
      <c r="J92" s="56">
        <f>'Vehicle Share Diversion Support'!J68*(1-'Vehicle Share Diversion Support'!J108)</f>
        <v>707.11287717084338</v>
      </c>
      <c r="K92" s="56">
        <f>'Vehicle Share Diversion Support'!K68*(1-'Vehicle Share Diversion Support'!K108)</f>
        <v>789.86779764442804</v>
      </c>
      <c r="L92" s="56">
        <f>'Vehicle Share Diversion Support'!L68*(1-'Vehicle Share Diversion Support'!L108)</f>
        <v>872.68975139290842</v>
      </c>
      <c r="M92" s="56">
        <f>'Vehicle Share Diversion Support'!M68*(1-'Vehicle Share Diversion Support'!M108)</f>
        <v>960.69796927136235</v>
      </c>
      <c r="N92" s="56">
        <f>'Vehicle Share Diversion Support'!N68*(1-'Vehicle Share Diversion Support'!N108)</f>
        <v>1057.1198761211149</v>
      </c>
      <c r="O92" s="159">
        <f>'Vehicle Share Diversion Support'!O68*(1-'Vehicle Share Diversion Support'!O108)</f>
        <v>1159.5972293770219</v>
      </c>
      <c r="P92" s="159">
        <f>'Vehicle Share Diversion Support'!P68*(1-'Vehicle Share Diversion Support'!P108)</f>
        <v>1261.3707270458442</v>
      </c>
      <c r="Q92" s="160">
        <f>'Vehicle Share Diversion Support'!Q68*(1-'Vehicle Share Diversion Support'!Q108)</f>
        <v>1358.130833153077</v>
      </c>
      <c r="R92" s="56"/>
      <c r="S92" s="56"/>
      <c r="T92" s="56"/>
      <c r="U92" s="56"/>
      <c r="V92" s="56"/>
      <c r="W92" s="56"/>
      <c r="X92" s="56"/>
      <c r="Y92" s="56"/>
      <c r="Z92" s="56"/>
      <c r="AA92" s="56"/>
    </row>
    <row r="93" spans="3:27" ht="15.5" x14ac:dyDescent="0.35">
      <c r="C93" s="24" t="s">
        <v>3</v>
      </c>
      <c r="D93" s="55">
        <f>'Vehicle Share Diversion Support'!D69</f>
        <v>274.41879789371825</v>
      </c>
      <c r="E93" s="56">
        <f>'Vehicle Share Diversion Support'!E69</f>
        <v>278.91289362123439</v>
      </c>
      <c r="F93" s="56">
        <f>'Vehicle Share Diversion Support'!F69</f>
        <v>265.47297835011824</v>
      </c>
      <c r="G93" s="56">
        <f>'Vehicle Share Diversion Support'!G69</f>
        <v>252.94350506099713</v>
      </c>
      <c r="H93" s="56">
        <f>'Vehicle Share Diversion Support'!H69</f>
        <v>302.28052500383734</v>
      </c>
      <c r="I93" s="56">
        <f>'Vehicle Share Diversion Support'!I69</f>
        <v>291.92892313673758</v>
      </c>
      <c r="J93" s="56">
        <f>'Vehicle Share Diversion Support'!J69*(1-'Vehicle Share Diversion Support'!J109)</f>
        <v>331.5466724792185</v>
      </c>
      <c r="K93" s="56">
        <f>'Vehicle Share Diversion Support'!K69*(1-'Vehicle Share Diversion Support'!K109)</f>
        <v>367.62498124094299</v>
      </c>
      <c r="L93" s="56">
        <f>'Vehicle Share Diversion Support'!L69*(1-'Vehicle Share Diversion Support'!L109)</f>
        <v>403.22934332351298</v>
      </c>
      <c r="M93" s="56">
        <f>'Vehicle Share Diversion Support'!M69*(1-'Vehicle Share Diversion Support'!M109)</f>
        <v>440.57234326847265</v>
      </c>
      <c r="N93" s="56">
        <f>'Vehicle Share Diversion Support'!N69*(1-'Vehicle Share Diversion Support'!N109)</f>
        <v>481.23859558162559</v>
      </c>
      <c r="O93" s="159">
        <f>'Vehicle Share Diversion Support'!O69*(1-'Vehicle Share Diversion Support'!O109)</f>
        <v>523.99383260375873</v>
      </c>
      <c r="P93" s="159">
        <f>'Vehicle Share Diversion Support'!P69*(1-'Vehicle Share Diversion Support'!P109)</f>
        <v>565.7449478998642</v>
      </c>
      <c r="Q93" s="160">
        <f>'Vehicle Share Diversion Support'!Q69*(1-'Vehicle Share Diversion Support'!Q109)</f>
        <v>604.5799747059458</v>
      </c>
      <c r="R93" s="56"/>
      <c r="S93" s="56"/>
      <c r="T93" s="56"/>
      <c r="U93" s="56"/>
      <c r="V93" s="56"/>
      <c r="W93" s="56"/>
      <c r="X93" s="56"/>
      <c r="Y93" s="56"/>
      <c r="Z93" s="56"/>
      <c r="AA93" s="56"/>
    </row>
    <row r="94" spans="3:27" ht="15.5" x14ac:dyDescent="0.35">
      <c r="C94" s="24" t="s">
        <v>4</v>
      </c>
      <c r="D94" s="55">
        <f>'Vehicle Share Diversion Support'!D70</f>
        <v>27.30869306171903</v>
      </c>
      <c r="E94" s="56">
        <f>'Vehicle Share Diversion Support'!E70</f>
        <v>27.05681267433361</v>
      </c>
      <c r="F94" s="56">
        <f>'Vehicle Share Diversion Support'!F70</f>
        <v>27.693291242003188</v>
      </c>
      <c r="G94" s="56">
        <f>'Vehicle Share Diversion Support'!G70</f>
        <v>26.430826498734035</v>
      </c>
      <c r="H94" s="56">
        <f>'Vehicle Share Diversion Support'!H70</f>
        <v>25.876135456483702</v>
      </c>
      <c r="I94" s="56">
        <f>'Vehicle Share Diversion Support'!I70</f>
        <v>27.306947054267912</v>
      </c>
      <c r="J94" s="56">
        <f>'Vehicle Share Diversion Support'!J70*(1-'Vehicle Share Diversion Support'!J110)</f>
        <v>30.238536888389081</v>
      </c>
      <c r="K94" s="56">
        <f>'Vehicle Share Diversion Support'!K70*(1-'Vehicle Share Diversion Support'!K110)</f>
        <v>32.875107832454589</v>
      </c>
      <c r="L94" s="56">
        <f>'Vehicle Share Diversion Support'!L70*(1-'Vehicle Share Diversion Support'!L110)</f>
        <v>35.387019909210125</v>
      </c>
      <c r="M94" s="56">
        <f>'Vehicle Share Diversion Support'!M70*(1-'Vehicle Share Diversion Support'!M110)</f>
        <v>37.917144893642963</v>
      </c>
      <c r="N94" s="56">
        <f>'Vehicle Share Diversion Support'!N70*(1-'Vehicle Share Diversion Support'!N110)</f>
        <v>40.646346268156179</v>
      </c>
      <c r="O94" s="159">
        <f>'Vehicle Share Diversion Support'!O70*(1-'Vehicle Share Diversion Support'!O110)</f>
        <v>43.439361856775804</v>
      </c>
      <c r="P94" s="159">
        <f>'Vehicle Share Diversion Support'!P70*(1-'Vehicle Share Diversion Support'!P110)</f>
        <v>46.039420186041575</v>
      </c>
      <c r="Q94" s="160">
        <f>'Vehicle Share Diversion Support'!Q70*(1-'Vehicle Share Diversion Support'!Q110)</f>
        <v>48.302851620732724</v>
      </c>
      <c r="R94" s="56"/>
      <c r="S94" s="56"/>
      <c r="T94" s="56"/>
      <c r="U94" s="56"/>
      <c r="V94" s="56"/>
      <c r="W94" s="56"/>
      <c r="X94" s="56"/>
      <c r="Y94" s="56"/>
      <c r="Z94" s="56"/>
      <c r="AA94" s="56"/>
    </row>
    <row r="95" spans="3:27" ht="15.5" x14ac:dyDescent="0.35">
      <c r="C95" s="24" t="s">
        <v>5</v>
      </c>
      <c r="D95" s="55">
        <f>'Vehicle Share Diversion Support'!D71</f>
        <v>141.76302835979683</v>
      </c>
      <c r="E95" s="56">
        <f>'Vehicle Share Diversion Support'!E71</f>
        <v>137.57829605064359</v>
      </c>
      <c r="F95" s="56">
        <f>'Vehicle Share Diversion Support'!F71</f>
        <v>138.81144157627637</v>
      </c>
      <c r="G95" s="56">
        <f>'Vehicle Share Diversion Support'!G71</f>
        <v>133.832811274222</v>
      </c>
      <c r="H95" s="56">
        <f>'Vehicle Share Diversion Support'!H71</f>
        <v>148.2158799822765</v>
      </c>
      <c r="I95" s="56">
        <f>'Vehicle Share Diversion Support'!I71</f>
        <v>152.38172491669226</v>
      </c>
      <c r="J95" s="56">
        <f>'Vehicle Share Diversion Support'!J71*(1-'Vehicle Share Diversion Support'!J111)</f>
        <v>172.96750247859805</v>
      </c>
      <c r="K95" s="56">
        <f>'Vehicle Share Diversion Support'!K71*(1-'Vehicle Share Diversion Support'!K111)</f>
        <v>191.83265317232144</v>
      </c>
      <c r="L95" s="56">
        <f>'Vehicle Share Diversion Support'!L71*(1-'Vehicle Share Diversion Support'!L111)</f>
        <v>210.49701940896892</v>
      </c>
      <c r="M95" s="56">
        <f>'Vehicle Share Diversion Support'!M71*(1-'Vehicle Share Diversion Support'!M111)</f>
        <v>230.297292410539</v>
      </c>
      <c r="N95" s="56">
        <f>'Vehicle Share Diversion Support'!N71*(1-'Vehicle Share Diversion Support'!N111)</f>
        <v>252.16532719053021</v>
      </c>
      <c r="O95" s="159">
        <f>'Vehicle Share Diversion Support'!O71*(1-'Vehicle Share Diversion Support'!O111)</f>
        <v>275.43843608555466</v>
      </c>
      <c r="P95" s="159">
        <f>'Vehicle Share Diversion Support'!P71*(1-'Vehicle Share Diversion Support'!P111)</f>
        <v>298.54970198299026</v>
      </c>
      <c r="Q95" s="160">
        <f>'Vehicle Share Diversion Support'!Q71*(1-'Vehicle Share Diversion Support'!Q111)</f>
        <v>320.53482717642129</v>
      </c>
      <c r="R95" s="56"/>
      <c r="S95" s="56"/>
      <c r="T95" s="56"/>
      <c r="U95" s="56"/>
      <c r="V95" s="56"/>
      <c r="W95" s="56"/>
      <c r="X95" s="56"/>
      <c r="Y95" s="56"/>
      <c r="Z95" s="56"/>
      <c r="AA95" s="56"/>
    </row>
    <row r="96" spans="3:27" ht="15.5" x14ac:dyDescent="0.35">
      <c r="C96" s="24" t="s">
        <v>6</v>
      </c>
      <c r="D96" s="55">
        <f>'Vehicle Share Diversion Support'!D72</f>
        <v>84.745209562274127</v>
      </c>
      <c r="E96" s="56">
        <f>'Vehicle Share Diversion Support'!E72</f>
        <v>86.89162737404493</v>
      </c>
      <c r="F96" s="56">
        <f>'Vehicle Share Diversion Support'!F72</f>
        <v>86.525924771083922</v>
      </c>
      <c r="G96" s="56">
        <f>'Vehicle Share Diversion Support'!G72</f>
        <v>83.635590058695499</v>
      </c>
      <c r="H96" s="56">
        <f>'Vehicle Share Diversion Support'!H72</f>
        <v>88.709538517146555</v>
      </c>
      <c r="I96" s="56">
        <f>'Vehicle Share Diversion Support'!I72</f>
        <v>89.689886750508592</v>
      </c>
      <c r="J96" s="56">
        <f>'Vehicle Share Diversion Support'!J72*(1-'Vehicle Share Diversion Support'!J112)</f>
        <v>102.66406501953561</v>
      </c>
      <c r="K96" s="56">
        <f>'Vehicle Share Diversion Support'!K72*(1-'Vehicle Share Diversion Support'!K112)</f>
        <v>114.68724646861263</v>
      </c>
      <c r="L96" s="56">
        <f>'Vehicle Share Diversion Support'!L72*(1-'Vehicle Share Diversion Support'!L112)</f>
        <v>126.89474117356382</v>
      </c>
      <c r="M96" s="56">
        <f>'Vehicle Share Diversion Support'!M72*(1-'Vehicle Share Diversion Support'!M112)</f>
        <v>140.0428098921077</v>
      </c>
      <c r="N96" s="56">
        <f>'Vehicle Share Diversion Support'!N72*(1-'Vehicle Share Diversion Support'!N112)</f>
        <v>154.6638412334695</v>
      </c>
      <c r="O96" s="159">
        <f>'Vehicle Share Diversion Support'!O72*(1-'Vehicle Share Diversion Support'!O112)</f>
        <v>170.36430377670675</v>
      </c>
      <c r="P96" s="159">
        <f>'Vehicle Share Diversion Support'!P72*(1-'Vehicle Share Diversion Support'!P112)</f>
        <v>186.18267193330507</v>
      </c>
      <c r="Q96" s="160">
        <f>'Vehicle Share Diversion Support'!Q72*(1-'Vehicle Share Diversion Support'!Q112)</f>
        <v>201.50377706056923</v>
      </c>
      <c r="R96" s="56"/>
      <c r="S96" s="56"/>
      <c r="T96" s="56"/>
      <c r="U96" s="56"/>
      <c r="V96" s="56"/>
      <c r="W96" s="56"/>
      <c r="X96" s="56"/>
      <c r="Y96" s="56"/>
      <c r="Z96" s="56"/>
      <c r="AA96" s="56"/>
    </row>
    <row r="97" spans="3:27" ht="15.5" x14ac:dyDescent="0.35">
      <c r="C97" s="24" t="s">
        <v>7</v>
      </c>
      <c r="D97" s="55">
        <f>'Vehicle Share Diversion Support'!D73</f>
        <v>218.23147519157882</v>
      </c>
      <c r="E97" s="56">
        <f>'Vehicle Share Diversion Support'!E73</f>
        <v>222.59904800804958</v>
      </c>
      <c r="F97" s="56">
        <f>'Vehicle Share Diversion Support'!F73</f>
        <v>216.83557997778985</v>
      </c>
      <c r="G97" s="56">
        <f>'Vehicle Share Diversion Support'!G73</f>
        <v>208.09135197342349</v>
      </c>
      <c r="H97" s="56">
        <f>'Vehicle Share Diversion Support'!H73</f>
        <v>221.07226508958252</v>
      </c>
      <c r="I97" s="56">
        <f>'Vehicle Share Diversion Support'!I73</f>
        <v>215.9178092836959</v>
      </c>
      <c r="J97" s="56">
        <f>'Vehicle Share Diversion Support'!J73*(1-'Vehicle Share Diversion Support'!J113)</f>
        <v>242.13244810130919</v>
      </c>
      <c r="K97" s="56">
        <f>'Vehicle Share Diversion Support'!K73*(1-'Vehicle Share Diversion Support'!K113)</f>
        <v>265.84081299746629</v>
      </c>
      <c r="L97" s="56">
        <f>'Vehicle Share Diversion Support'!L73*(1-'Vehicle Share Diversion Support'!L113)</f>
        <v>288.81714677204013</v>
      </c>
      <c r="M97" s="56">
        <f>'Vehicle Share Diversion Support'!M73*(1-'Vehicle Share Diversion Support'!M113)</f>
        <v>312.83765464248279</v>
      </c>
      <c r="N97" s="56">
        <f>'Vehicle Share Diversion Support'!N73*(1-'Vehicle Share Diversion Support'!N113)</f>
        <v>338.72507266263926</v>
      </c>
      <c r="O97" s="159">
        <f>'Vehicle Share Diversion Support'!O73*(1-'Vehicle Share Diversion Support'!O113)</f>
        <v>365.83574544557882</v>
      </c>
      <c r="P97" s="159">
        <f>'Vehicle Share Diversion Support'!P73*(1-'Vehicle Share Diversion Support'!P113)</f>
        <v>392.05984038673023</v>
      </c>
      <c r="Q97" s="160">
        <f>'Vehicle Share Diversion Support'!Q73*(1-'Vehicle Share Diversion Support'!Q113)</f>
        <v>416.16592296179999</v>
      </c>
      <c r="R97" s="56"/>
      <c r="S97" s="56"/>
      <c r="T97" s="56"/>
      <c r="U97" s="56"/>
      <c r="V97" s="56"/>
      <c r="W97" s="56"/>
      <c r="X97" s="56"/>
      <c r="Y97" s="56"/>
      <c r="Z97" s="56"/>
      <c r="AA97" s="56"/>
    </row>
    <row r="98" spans="3:27" ht="15.5" x14ac:dyDescent="0.35">
      <c r="C98" s="24" t="s">
        <v>8</v>
      </c>
      <c r="D98" s="55">
        <f>'Vehicle Share Diversion Support'!D74</f>
        <v>389.05725540424424</v>
      </c>
      <c r="E98" s="56">
        <f>'Vehicle Share Diversion Support'!E74</f>
        <v>396.13325692537563</v>
      </c>
      <c r="F98" s="56">
        <f>'Vehicle Share Diversion Support'!F74</f>
        <v>407.76859043861577</v>
      </c>
      <c r="G98" s="56">
        <f>'Vehicle Share Diversion Support'!G74</f>
        <v>368.04630363278324</v>
      </c>
      <c r="H98" s="56">
        <f>'Vehicle Share Diversion Support'!H74</f>
        <v>384.01839873871967</v>
      </c>
      <c r="I98" s="56">
        <f>'Vehicle Share Diversion Support'!I74</f>
        <v>391.38472005207268</v>
      </c>
      <c r="J98" s="56">
        <f>'Vehicle Share Diversion Support'!J74*(1-'Vehicle Share Diversion Support'!J114)</f>
        <v>449.69705630162588</v>
      </c>
      <c r="K98" s="56">
        <f>'Vehicle Share Diversion Support'!K74*(1-'Vehicle Share Diversion Support'!K114)</f>
        <v>504.16301793811436</v>
      </c>
      <c r="L98" s="56">
        <f>'Vehicle Share Diversion Support'!L74*(1-'Vehicle Share Diversion Support'!L114)</f>
        <v>559.35624083594632</v>
      </c>
      <c r="M98" s="56">
        <f>'Vehicle Share Diversion Support'!M74*(1-'Vehicle Share Diversion Support'!M114)</f>
        <v>618.6116625196662</v>
      </c>
      <c r="N98" s="56">
        <f>'Vehicle Share Diversion Support'!N74*(1-'Vehicle Share Diversion Support'!N114)</f>
        <v>684.02540534789875</v>
      </c>
      <c r="O98" s="159">
        <f>'Vehicle Share Diversion Support'!O74*(1-'Vehicle Share Diversion Support'!O114)</f>
        <v>754.2277929476179</v>
      </c>
      <c r="P98" s="159">
        <f>'Vehicle Share Diversion Support'!P74*(1-'Vehicle Share Diversion Support'!P114)</f>
        <v>824.93582540231455</v>
      </c>
      <c r="Q98" s="160">
        <f>'Vehicle Share Diversion Support'!Q74*(1-'Vehicle Share Diversion Support'!Q114)</f>
        <v>893.38729449703749</v>
      </c>
      <c r="R98" s="56"/>
      <c r="S98" s="56"/>
      <c r="T98" s="56"/>
      <c r="U98" s="56"/>
      <c r="V98" s="56"/>
      <c r="W98" s="56"/>
      <c r="X98" s="56"/>
      <c r="Y98" s="56"/>
      <c r="Z98" s="56"/>
      <c r="AA98" s="56"/>
    </row>
    <row r="99" spans="3:27" ht="15.5" x14ac:dyDescent="0.35">
      <c r="C99" s="24" t="s">
        <v>9</v>
      </c>
      <c r="D99" s="55">
        <f>'Vehicle Share Diversion Support'!D75</f>
        <v>133.92169843201475</v>
      </c>
      <c r="E99" s="56">
        <f>'Vehicle Share Diversion Support'!E75</f>
        <v>137.32045222312735</v>
      </c>
      <c r="F99" s="56">
        <f>'Vehicle Share Diversion Support'!F75</f>
        <v>124.11205636235701</v>
      </c>
      <c r="G99" s="56">
        <f>'Vehicle Share Diversion Support'!G75</f>
        <v>141.78134028151956</v>
      </c>
      <c r="H99" s="56">
        <f>'Vehicle Share Diversion Support'!H75</f>
        <v>160.13443890566549</v>
      </c>
      <c r="I99" s="56">
        <f>'Vehicle Share Diversion Support'!I75</f>
        <v>188.90048018108149</v>
      </c>
      <c r="J99" s="56">
        <f>'Vehicle Share Diversion Support'!J75*(1-'Vehicle Share Diversion Support'!J115)</f>
        <v>211.56754629654228</v>
      </c>
      <c r="K99" s="56">
        <f>'Vehicle Share Diversion Support'!K75*(1-'Vehicle Share Diversion Support'!K115)</f>
        <v>232.28482728733863</v>
      </c>
      <c r="L99" s="56">
        <f>'Vehicle Share Diversion Support'!L75*(1-'Vehicle Share Diversion Support'!L115)</f>
        <v>252.34129713469261</v>
      </c>
      <c r="M99" s="56">
        <f>'Vehicle Share Diversion Support'!M75*(1-'Vehicle Share Diversion Support'!M115)</f>
        <v>273.13150423536814</v>
      </c>
      <c r="N99" s="56">
        <f>'Vehicle Share Diversion Support'!N75*(1-'Vehicle Share Diversion Support'!N115)</f>
        <v>295.10111592914063</v>
      </c>
      <c r="O99" s="159">
        <f>'Vehicle Share Diversion Support'!O75*(1-'Vehicle Share Diversion Support'!O115)</f>
        <v>317.88235823210459</v>
      </c>
      <c r="P99" s="159">
        <f>'Vehicle Share Diversion Support'!P75*(1-'Vehicle Share Diversion Support'!P115)</f>
        <v>339.5994583397719</v>
      </c>
      <c r="Q99" s="160">
        <f>'Vehicle Share Diversion Support'!Q75*(1-'Vehicle Share Diversion Support'!Q115)</f>
        <v>359.15721352045625</v>
      </c>
      <c r="R99" s="56"/>
      <c r="S99" s="56"/>
      <c r="T99" s="56"/>
      <c r="U99" s="56"/>
      <c r="V99" s="56"/>
      <c r="W99" s="56"/>
      <c r="X99" s="56"/>
      <c r="Y99" s="56"/>
      <c r="Z99" s="56"/>
      <c r="AA99" s="56"/>
    </row>
    <row r="100" spans="3:27" ht="15.5" x14ac:dyDescent="0.35">
      <c r="C100" s="24" t="s">
        <v>10</v>
      </c>
      <c r="D100" s="55">
        <f>'Vehicle Share Diversion Support'!D76</f>
        <v>46.924945220543997</v>
      </c>
      <c r="E100" s="56">
        <f>'Vehicle Share Diversion Support'!E76</f>
        <v>45.293154230930504</v>
      </c>
      <c r="F100" s="56">
        <f>'Vehicle Share Diversion Support'!F76</f>
        <v>49.24859581376252</v>
      </c>
      <c r="G100" s="56">
        <f>'Vehicle Share Diversion Support'!G76</f>
        <v>48.135843520237707</v>
      </c>
      <c r="H100" s="56">
        <f>'Vehicle Share Diversion Support'!H76</f>
        <v>47.746434168783182</v>
      </c>
      <c r="I100" s="56">
        <f>'Vehicle Share Diversion Support'!I76</f>
        <v>58.133268585390738</v>
      </c>
      <c r="J100" s="56">
        <f>'Vehicle Share Diversion Support'!J76*(1-'Vehicle Share Diversion Support'!J116)</f>
        <v>63.201466748010205</v>
      </c>
      <c r="K100" s="56">
        <f>'Vehicle Share Diversion Support'!K76*(1-'Vehicle Share Diversion Support'!K116)</f>
        <v>67.469839265588689</v>
      </c>
      <c r="L100" s="56">
        <f>'Vehicle Share Diversion Support'!L76*(1-'Vehicle Share Diversion Support'!L116)</f>
        <v>71.297887119485409</v>
      </c>
      <c r="M100" s="56">
        <f>'Vehicle Share Diversion Support'!M76*(1-'Vehicle Share Diversion Support'!M116)</f>
        <v>75.108003886113707</v>
      </c>
      <c r="N100" s="56">
        <f>'Vehicle Share Diversion Support'!N76*(1-'Vehicle Share Diversion Support'!N116)</f>
        <v>79.186721933652436</v>
      </c>
      <c r="O100" s="159">
        <f>'Vehicle Share Diversion Support'!O76*(1-'Vehicle Share Diversion Support'!O116)</f>
        <v>83.232808564750528</v>
      </c>
      <c r="P100" s="159">
        <f>'Vehicle Share Diversion Support'!P76*(1-'Vehicle Share Diversion Support'!P116)</f>
        <v>86.760334719050732</v>
      </c>
      <c r="Q100" s="160">
        <f>'Vehicle Share Diversion Support'!Q76*(1-'Vehicle Share Diversion Support'!Q116)</f>
        <v>89.525015399700379</v>
      </c>
      <c r="R100" s="56"/>
      <c r="S100" s="56"/>
      <c r="T100" s="56"/>
      <c r="U100" s="56"/>
      <c r="V100" s="56"/>
      <c r="W100" s="56"/>
      <c r="X100" s="56"/>
      <c r="Y100" s="56"/>
      <c r="Z100" s="56"/>
      <c r="AA100" s="56"/>
    </row>
    <row r="101" spans="3:27" ht="15.5" x14ac:dyDescent="0.35">
      <c r="C101" s="24" t="s">
        <v>11</v>
      </c>
      <c r="D101" s="55">
        <f>'Vehicle Share Diversion Support'!D77</f>
        <v>697.97626335213374</v>
      </c>
      <c r="E101" s="56">
        <f>'Vehicle Share Diversion Support'!E77</f>
        <v>741.0100265202376</v>
      </c>
      <c r="F101" s="56">
        <f>'Vehicle Share Diversion Support'!F77</f>
        <v>735.04754192563757</v>
      </c>
      <c r="G101" s="56">
        <f>'Vehicle Share Diversion Support'!G77</f>
        <v>734.4043648993545</v>
      </c>
      <c r="H101" s="56">
        <f>'Vehicle Share Diversion Support'!H77</f>
        <v>829.3521087079439</v>
      </c>
      <c r="I101" s="56">
        <f>'Vehicle Share Diversion Support'!I77</f>
        <v>886.33861060765764</v>
      </c>
      <c r="J101" s="56">
        <f>'Vehicle Share Diversion Support'!J77*(1-'Vehicle Share Diversion Support'!J117)</f>
        <v>1037.5739687801708</v>
      </c>
      <c r="K101" s="56">
        <f>'Vehicle Share Diversion Support'!K77*(1-'Vehicle Share Diversion Support'!K117)</f>
        <v>1177.6648538931518</v>
      </c>
      <c r="L101" s="56">
        <f>'Vehicle Share Diversion Support'!L77*(1-'Vehicle Share Diversion Support'!L117)</f>
        <v>1322.0465016218736</v>
      </c>
      <c r="M101" s="56">
        <f>'Vehicle Share Diversion Support'!M77*(1-'Vehicle Share Diversion Support'!M117)</f>
        <v>1479.3198285427163</v>
      </c>
      <c r="N101" s="56">
        <f>'Vehicle Share Diversion Support'!N77*(1-'Vehicle Share Diversion Support'!N117)</f>
        <v>1654.7441308447333</v>
      </c>
      <c r="O101" s="159">
        <f>'Vehicle Share Diversion Support'!O77*(1-'Vehicle Share Diversion Support'!O117)</f>
        <v>1845.49291973344</v>
      </c>
      <c r="P101" s="159">
        <f>'Vehicle Share Diversion Support'!P77*(1-'Vehicle Share Diversion Support'!P117)</f>
        <v>2041.3351366768024</v>
      </c>
      <c r="Q101" s="160">
        <f>'Vehicle Share Diversion Support'!Q77*(1-'Vehicle Share Diversion Support'!Q117)</f>
        <v>2235.3621076153318</v>
      </c>
      <c r="R101" s="56"/>
      <c r="S101" s="56"/>
      <c r="T101" s="56"/>
      <c r="U101" s="56"/>
      <c r="V101" s="56"/>
      <c r="W101" s="56"/>
      <c r="X101" s="56"/>
      <c r="Y101" s="56"/>
      <c r="Z101" s="56"/>
      <c r="AA101" s="56"/>
    </row>
    <row r="102" spans="3:27" ht="15.5" x14ac:dyDescent="0.35">
      <c r="C102" s="24" t="s">
        <v>12</v>
      </c>
      <c r="D102" s="55">
        <f>'Vehicle Share Diversion Support'!D78</f>
        <v>276.5722530241905</v>
      </c>
      <c r="E102" s="56">
        <f>'Vehicle Share Diversion Support'!E78</f>
        <v>294.86422990880612</v>
      </c>
      <c r="F102" s="56">
        <f>'Vehicle Share Diversion Support'!F78</f>
        <v>295.98099494561546</v>
      </c>
      <c r="G102" s="56">
        <f>'Vehicle Share Diversion Support'!G78</f>
        <v>293.63515157128177</v>
      </c>
      <c r="H102" s="56">
        <f>'Vehicle Share Diversion Support'!H78</f>
        <v>333.12798427313521</v>
      </c>
      <c r="I102" s="56">
        <f>'Vehicle Share Diversion Support'!I78</f>
        <v>340.3289703500605</v>
      </c>
      <c r="J102" s="56">
        <f>'Vehicle Share Diversion Support'!J78*(1-'Vehicle Share Diversion Support'!J118)</f>
        <v>397.33109331301074</v>
      </c>
      <c r="K102" s="56">
        <f>'Vehicle Share Diversion Support'!K78*(1-'Vehicle Share Diversion Support'!K118)</f>
        <v>448.75074464807614</v>
      </c>
      <c r="L102" s="56">
        <f>'Vehicle Share Diversion Support'!L78*(1-'Vehicle Share Diversion Support'!L118)</f>
        <v>501.42560409720079</v>
      </c>
      <c r="M102" s="56">
        <f>'Vehicle Share Diversion Support'!M78*(1-'Vehicle Share Diversion Support'!M118)</f>
        <v>558.25665495138765</v>
      </c>
      <c r="N102" s="56">
        <f>'Vehicle Share Diversion Support'!N78*(1-'Vehicle Share Diversion Support'!N118)</f>
        <v>621.52129145027686</v>
      </c>
      <c r="O102" s="159">
        <f>'Vehicle Share Diversion Support'!O78*(1-'Vehicle Share Diversion Support'!O118)</f>
        <v>689.87253195355004</v>
      </c>
      <c r="P102" s="159">
        <f>'Vehicle Share Diversion Support'!P78*(1-'Vehicle Share Diversion Support'!P118)</f>
        <v>759.42211612384222</v>
      </c>
      <c r="Q102" s="160">
        <f>'Vehicle Share Diversion Support'!Q78*(1-'Vehicle Share Diversion Support'!Q118)</f>
        <v>827.58667285976901</v>
      </c>
      <c r="R102" s="56"/>
      <c r="S102" s="56"/>
      <c r="T102" s="56"/>
      <c r="U102" s="56"/>
      <c r="V102" s="56"/>
      <c r="W102" s="56"/>
      <c r="X102" s="56"/>
      <c r="Y102" s="56"/>
      <c r="Z102" s="56"/>
      <c r="AA102" s="56"/>
    </row>
    <row r="103" spans="3:27" ht="16" thickBot="1" x14ac:dyDescent="0.4">
      <c r="C103" s="25" t="s">
        <v>13</v>
      </c>
      <c r="D103" s="58">
        <f>'Vehicle Share Diversion Support'!D79</f>
        <v>96.784270553560106</v>
      </c>
      <c r="E103" s="59">
        <f>'Vehicle Share Diversion Support'!E79</f>
        <v>99.023073894774981</v>
      </c>
      <c r="F103" s="59">
        <f>'Vehicle Share Diversion Support'!F79</f>
        <v>91.563509587567026</v>
      </c>
      <c r="G103" s="59">
        <f>'Vehicle Share Diversion Support'!G79</f>
        <v>94.994588104692752</v>
      </c>
      <c r="H103" s="59">
        <f>'Vehicle Share Diversion Support'!H79</f>
        <v>107.77665332631699</v>
      </c>
      <c r="I103" s="59">
        <f>'Vehicle Share Diversion Support'!I79</f>
        <v>106.14076768370303</v>
      </c>
      <c r="J103" s="59">
        <f>'Vehicle Share Diversion Support'!J79*(1-'Vehicle Share Diversion Support'!J119)</f>
        <v>116.4412998469833</v>
      </c>
      <c r="K103" s="59">
        <f>'Vehicle Share Diversion Support'!K79*(1-'Vehicle Share Diversion Support'!K119)</f>
        <v>125.69971847129561</v>
      </c>
      <c r="L103" s="59">
        <f>'Vehicle Share Diversion Support'!L79*(1-'Vehicle Share Diversion Support'!L119)</f>
        <v>134.49716453968207</v>
      </c>
      <c r="M103" s="59">
        <f>'Vehicle Share Diversion Support'!M79*(1-'Vehicle Share Diversion Support'!M119)</f>
        <v>143.5393758970574</v>
      </c>
      <c r="N103" s="59">
        <f>'Vehicle Share Diversion Support'!N79*(1-'Vehicle Share Diversion Support'!N119)</f>
        <v>153.2481724915192</v>
      </c>
      <c r="O103" s="162">
        <f>'Vehicle Share Diversion Support'!O79*(1-'Vehicle Share Diversion Support'!O119)</f>
        <v>163.11563620614172</v>
      </c>
      <c r="P103" s="162">
        <f>'Vehicle Share Diversion Support'!P79*(1-'Vehicle Share Diversion Support'!P119)</f>
        <v>172.17907462047097</v>
      </c>
      <c r="Q103" s="163">
        <f>'Vehicle Share Diversion Support'!Q79*(1-'Vehicle Share Diversion Support'!Q119)</f>
        <v>179.91263346499417</v>
      </c>
      <c r="R103" s="56"/>
      <c r="S103" s="56"/>
      <c r="T103" s="56"/>
      <c r="U103" s="56"/>
      <c r="V103" s="56"/>
      <c r="W103" s="56"/>
      <c r="X103" s="56"/>
      <c r="Y103" s="56"/>
      <c r="Z103" s="56"/>
      <c r="AA103" s="56"/>
    </row>
    <row r="104" spans="3:27" ht="16.5" thickTop="1" thickBot="1" x14ac:dyDescent="0.4">
      <c r="C104" s="31" t="s">
        <v>24</v>
      </c>
      <c r="D104" s="61">
        <f>SUM(D90:D103)</f>
        <v>4868.4145845394669</v>
      </c>
      <c r="E104" s="62">
        <f t="shared" ref="E104:Q104" si="36">SUM(E90:E103)</f>
        <v>4967.0781090115188</v>
      </c>
      <c r="F104" s="62">
        <f t="shared" si="36"/>
        <v>4888.1312323564507</v>
      </c>
      <c r="G104" s="62">
        <f t="shared" si="36"/>
        <v>4776.9709180134423</v>
      </c>
      <c r="H104" s="62">
        <f t="shared" si="36"/>
        <v>5363.264894528339</v>
      </c>
      <c r="I104" s="62">
        <f t="shared" si="36"/>
        <v>5468.5990381078254</v>
      </c>
      <c r="J104" s="62">
        <f t="shared" si="36"/>
        <v>6313.113389625938</v>
      </c>
      <c r="K104" s="62">
        <f t="shared" si="36"/>
        <v>7092.9964245876263</v>
      </c>
      <c r="L104" s="62">
        <f t="shared" si="36"/>
        <v>7886.1360210405919</v>
      </c>
      <c r="M104" s="62">
        <f t="shared" si="36"/>
        <v>8739.6598722340314</v>
      </c>
      <c r="N104" s="62">
        <f t="shared" si="36"/>
        <v>9684.5182054700199</v>
      </c>
      <c r="O104" s="125">
        <f t="shared" si="36"/>
        <v>10702.167465299715</v>
      </c>
      <c r="P104" s="125">
        <f t="shared" si="36"/>
        <v>11732.29054410977</v>
      </c>
      <c r="Q104" s="126">
        <f t="shared" si="36"/>
        <v>12735.672809175105</v>
      </c>
      <c r="R104" s="56"/>
      <c r="S104" s="56"/>
      <c r="T104" s="56"/>
      <c r="U104" s="56"/>
      <c r="V104" s="56"/>
      <c r="W104" s="56"/>
      <c r="X104" s="56"/>
      <c r="Y104" s="56"/>
      <c r="Z104" s="56"/>
      <c r="AA104" s="56"/>
    </row>
    <row r="105" spans="3:27" ht="13" thickTop="1" x14ac:dyDescent="0.25">
      <c r="N105" s="121"/>
    </row>
    <row r="106" spans="3:27" ht="13" thickBot="1" x14ac:dyDescent="0.3">
      <c r="N106" s="121"/>
    </row>
    <row r="107" spans="3:27" ht="16" thickTop="1" x14ac:dyDescent="0.35">
      <c r="C107" s="32" t="s">
        <v>121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121"/>
    </row>
    <row r="108" spans="3:27" ht="13.5" thickBot="1" x14ac:dyDescent="0.35">
      <c r="C108" s="18"/>
      <c r="D108" s="65" t="s">
        <v>25</v>
      </c>
      <c r="E108" s="65" t="s">
        <v>37</v>
      </c>
      <c r="F108" s="65" t="s">
        <v>38</v>
      </c>
      <c r="G108" s="37" t="s">
        <v>177</v>
      </c>
      <c r="H108" s="37" t="s">
        <v>178</v>
      </c>
      <c r="I108" s="65" t="s">
        <v>26</v>
      </c>
      <c r="J108" s="65" t="s">
        <v>27</v>
      </c>
      <c r="K108" s="65" t="s">
        <v>28</v>
      </c>
      <c r="L108" s="65" t="s">
        <v>29</v>
      </c>
      <c r="M108" s="65" t="s">
        <v>30</v>
      </c>
      <c r="N108" s="65" t="s">
        <v>31</v>
      </c>
      <c r="O108" s="37" t="s">
        <v>174</v>
      </c>
      <c r="P108" s="37" t="s">
        <v>175</v>
      </c>
      <c r="Q108" s="38" t="s">
        <v>176</v>
      </c>
      <c r="R108" s="65"/>
    </row>
    <row r="109" spans="3:27" ht="14" thickTop="1" thickBot="1" x14ac:dyDescent="0.35">
      <c r="C109" s="70"/>
      <c r="D109" s="71" t="s">
        <v>39</v>
      </c>
      <c r="E109" s="71" t="s">
        <v>39</v>
      </c>
      <c r="F109" s="71" t="s">
        <v>39</v>
      </c>
      <c r="G109" s="65" t="s">
        <v>39</v>
      </c>
      <c r="H109" s="65" t="s">
        <v>39</v>
      </c>
      <c r="I109" s="71" t="s">
        <v>39</v>
      </c>
      <c r="J109" s="71" t="s">
        <v>32</v>
      </c>
      <c r="K109" s="71" t="s">
        <v>32</v>
      </c>
      <c r="L109" s="71" t="s">
        <v>32</v>
      </c>
      <c r="M109" s="71" t="s">
        <v>32</v>
      </c>
      <c r="N109" s="71" t="s">
        <v>32</v>
      </c>
      <c r="O109" s="65" t="s">
        <v>32</v>
      </c>
      <c r="P109" s="65" t="s">
        <v>32</v>
      </c>
      <c r="Q109" s="66" t="s">
        <v>32</v>
      </c>
      <c r="R109" s="65"/>
    </row>
    <row r="110" spans="3:27" ht="16" thickTop="1" x14ac:dyDescent="0.35">
      <c r="C110" s="24" t="s">
        <v>0</v>
      </c>
      <c r="D110" s="42">
        <f>'[1]12_13 fleet'!$D69*'Light Vehicle Supporting Data'!D$154</f>
        <v>7068.2525616891207</v>
      </c>
      <c r="E110" s="43">
        <f>'[2]13_14 fleet'!$D70*'Light Vehicle Supporting Data'!E$154</f>
        <v>7178.9001720937167</v>
      </c>
      <c r="F110" s="43">
        <f>'[3]14_15 fleet'!$D70*'Light Vehicle Supporting Data'!F$154</f>
        <v>7091.1833674008403</v>
      </c>
      <c r="G110" s="53">
        <f>'[4]15_16 fleet'!$D70*'Light Vehicle Supporting Data'!G$154</f>
        <v>7487.2009637451201</v>
      </c>
      <c r="H110" s="53">
        <f>'[5]16_17 fleet_v2'!$D70*'Light Vehicle Supporting Data'!H$154</f>
        <v>7891.8951743797088</v>
      </c>
      <c r="I110" s="40">
        <f>'[6]17_18 fleet_v3'!$D71*'Light Vehicle Supporting Data'!I$154</f>
        <v>8639.4658239427845</v>
      </c>
      <c r="J110" s="43">
        <f>$I110*(J90/$I90)</f>
        <v>9873.3088540164972</v>
      </c>
      <c r="K110" s="43">
        <f t="shared" ref="K110:Q110" si="37">$I110*(K90/$I90)</f>
        <v>11007.167860856673</v>
      </c>
      <c r="L110" s="43">
        <f t="shared" si="37"/>
        <v>12127.338148688599</v>
      </c>
      <c r="M110" s="43">
        <f t="shared" si="37"/>
        <v>13315.260376416365</v>
      </c>
      <c r="N110" s="43">
        <f t="shared" si="37"/>
        <v>14602.70990250923</v>
      </c>
      <c r="O110" s="53">
        <f t="shared" si="37"/>
        <v>15972.176663367609</v>
      </c>
      <c r="P110" s="53">
        <f t="shared" si="37"/>
        <v>17332.188263736083</v>
      </c>
      <c r="Q110" s="54">
        <f t="shared" si="37"/>
        <v>18625.872121833356</v>
      </c>
      <c r="R110" s="56"/>
      <c r="S110" s="56"/>
      <c r="T110" s="56"/>
      <c r="U110" s="56"/>
      <c r="V110" s="56"/>
      <c r="W110" s="56"/>
      <c r="X110" s="56"/>
    </row>
    <row r="111" spans="3:27" ht="15.5" x14ac:dyDescent="0.35">
      <c r="C111" s="24" t="s">
        <v>1</v>
      </c>
      <c r="D111" s="42">
        <f>'[1]12_13 fleet'!$D70*'Light Vehicle Supporting Data'!D$154</f>
        <v>110684.57074047979</v>
      </c>
      <c r="E111" s="43">
        <f>'[2]13_14 fleet'!$D71*'Light Vehicle Supporting Data'!E$154</f>
        <v>115603.11470655989</v>
      </c>
      <c r="F111" s="43">
        <f>'[3]14_15 fleet'!$D71*'Light Vehicle Supporting Data'!F$154</f>
        <v>120719.26473898166</v>
      </c>
      <c r="G111" s="43">
        <f>'[4]15_16 fleet'!$D71*'Light Vehicle Supporting Data'!G$154</f>
        <v>129384.15706323726</v>
      </c>
      <c r="H111" s="43">
        <f>'[5]16_17 fleet_v2'!$D71*'Light Vehicle Supporting Data'!H$154</f>
        <v>140833.20112859595</v>
      </c>
      <c r="I111" s="43">
        <f>'[6]17_18 fleet_v3'!$D72*'Light Vehicle Supporting Data'!I$154</f>
        <v>143561.05877999085</v>
      </c>
      <c r="J111" s="43">
        <f t="shared" ref="J111:Q111" si="38">$I111*(J91/$I91)</f>
        <v>167549.91674891621</v>
      </c>
      <c r="K111" s="43">
        <f t="shared" si="38"/>
        <v>189906.82381722057</v>
      </c>
      <c r="L111" s="43">
        <f t="shared" si="38"/>
        <v>213008.47570527752</v>
      </c>
      <c r="M111" s="43">
        <f t="shared" si="38"/>
        <v>238104.66379759891</v>
      </c>
      <c r="N111" s="43">
        <f t="shared" si="38"/>
        <v>266103.80752366019</v>
      </c>
      <c r="O111" s="56">
        <f t="shared" si="38"/>
        <v>296557.31242689659</v>
      </c>
      <c r="P111" s="56">
        <f t="shared" si="38"/>
        <v>327828.7549827582</v>
      </c>
      <c r="Q111" s="57">
        <f t="shared" si="38"/>
        <v>358819.80859265511</v>
      </c>
      <c r="R111" s="56"/>
      <c r="S111" s="56"/>
      <c r="T111" s="56"/>
      <c r="U111" s="56"/>
      <c r="V111" s="56"/>
      <c r="W111" s="56"/>
      <c r="X111" s="56"/>
    </row>
    <row r="112" spans="3:27" ht="15.5" x14ac:dyDescent="0.35">
      <c r="C112" s="24" t="s">
        <v>2</v>
      </c>
      <c r="D112" s="42">
        <f>'[1]12_13 fleet'!$D71*'Light Vehicle Supporting Data'!D$154</f>
        <v>23394.004017373565</v>
      </c>
      <c r="E112" s="43">
        <f>'[2]13_14 fleet'!$D72*'Light Vehicle Supporting Data'!E$154</f>
        <v>24456.506958277438</v>
      </c>
      <c r="F112" s="43">
        <f>'[3]14_15 fleet'!$D72*'Light Vehicle Supporting Data'!F$154</f>
        <v>25493.229576720791</v>
      </c>
      <c r="G112" s="43">
        <f>'[4]15_16 fleet'!$D72*'Light Vehicle Supporting Data'!G$154</f>
        <v>27283.596507506445</v>
      </c>
      <c r="H112" s="43">
        <f>'[5]16_17 fleet_v2'!$D72*'Light Vehicle Supporting Data'!H$154</f>
        <v>28213.074912010241</v>
      </c>
      <c r="I112" s="43">
        <f>'[6]17_18 fleet_v3'!$D73*'Light Vehicle Supporting Data'!I$154</f>
        <v>28208.37636492162</v>
      </c>
      <c r="J112" s="43">
        <f t="shared" ref="J112:Q112" si="39">$I112*(J92/$I92)</f>
        <v>32325.892977512915</v>
      </c>
      <c r="K112" s="43">
        <f t="shared" si="39"/>
        <v>36109.060826604938</v>
      </c>
      <c r="L112" s="43">
        <f t="shared" si="39"/>
        <v>39895.293123453703</v>
      </c>
      <c r="M112" s="43">
        <f t="shared" si="39"/>
        <v>43918.617155768254</v>
      </c>
      <c r="N112" s="43">
        <f t="shared" si="39"/>
        <v>48326.575689890306</v>
      </c>
      <c r="O112" s="56">
        <f t="shared" si="39"/>
        <v>53011.36090724235</v>
      </c>
      <c r="P112" s="56">
        <f t="shared" si="39"/>
        <v>57663.969139682507</v>
      </c>
      <c r="Q112" s="57">
        <f t="shared" si="39"/>
        <v>62087.388561811749</v>
      </c>
      <c r="R112" s="56"/>
      <c r="S112" s="56"/>
      <c r="T112" s="56"/>
      <c r="U112" s="56"/>
      <c r="V112" s="56"/>
      <c r="W112" s="56"/>
      <c r="X112" s="56"/>
    </row>
    <row r="113" spans="3:24" ht="15.5" x14ac:dyDescent="0.35">
      <c r="C113" s="24" t="s">
        <v>3</v>
      </c>
      <c r="D113" s="42">
        <f>'[1]12_13 fleet'!$D72*'Light Vehicle Supporting Data'!D$154</f>
        <v>17295.746744209689</v>
      </c>
      <c r="E113" s="43">
        <f>'[2]13_14 fleet'!$D73*'Light Vehicle Supporting Data'!E$154</f>
        <v>17664.979118392348</v>
      </c>
      <c r="F113" s="43">
        <f>'[3]14_15 fleet'!$D73*'Light Vehicle Supporting Data'!F$154</f>
        <v>17923.629039296295</v>
      </c>
      <c r="G113" s="43">
        <f>'[4]15_16 fleet'!$D73*'Light Vehicle Supporting Data'!G$154</f>
        <v>18925.674405082238</v>
      </c>
      <c r="H113" s="43">
        <f>'[5]16_17 fleet_v2'!$D73*'Light Vehicle Supporting Data'!H$154</f>
        <v>19835.817176183136</v>
      </c>
      <c r="I113" s="43">
        <f>'[6]17_18 fleet_v3'!$D74*'Light Vehicle Supporting Data'!I$154</f>
        <v>20002.285043037133</v>
      </c>
      <c r="J113" s="43">
        <f t="shared" ref="J113:Q113" si="40">$I113*(J93/$I93)</f>
        <v>22716.800297631227</v>
      </c>
      <c r="K113" s="43">
        <f t="shared" si="40"/>
        <v>25188.801386008145</v>
      </c>
      <c r="L113" s="43">
        <f t="shared" si="40"/>
        <v>27628.328759654138</v>
      </c>
      <c r="M113" s="43">
        <f t="shared" si="40"/>
        <v>30186.983521352206</v>
      </c>
      <c r="N113" s="43">
        <f t="shared" si="40"/>
        <v>32973.339740049843</v>
      </c>
      <c r="O113" s="56">
        <f t="shared" si="40"/>
        <v>35902.828290928199</v>
      </c>
      <c r="P113" s="56">
        <f t="shared" si="40"/>
        <v>38763.51677648208</v>
      </c>
      <c r="Q113" s="57">
        <f t="shared" si="40"/>
        <v>41424.401718894551</v>
      </c>
      <c r="R113" s="56"/>
      <c r="S113" s="56"/>
      <c r="T113" s="56"/>
      <c r="U113" s="56"/>
      <c r="V113" s="56"/>
      <c r="W113" s="56"/>
      <c r="X113" s="56"/>
    </row>
    <row r="114" spans="3:24" ht="15.5" x14ac:dyDescent="0.35">
      <c r="C114" s="24" t="s">
        <v>4</v>
      </c>
      <c r="D114" s="42">
        <f>'[1]12_13 fleet'!$D73*'Light Vehicle Supporting Data'!D$154</f>
        <v>1782.8293177125511</v>
      </c>
      <c r="E114" s="43">
        <f>'[2]13_14 fleet'!$D74*'Light Vehicle Supporting Data'!E$154</f>
        <v>1788.7192704310473</v>
      </c>
      <c r="F114" s="43">
        <f>'[3]14_15 fleet'!$D74*'Light Vehicle Supporting Data'!F$154</f>
        <v>1794.5648239590271</v>
      </c>
      <c r="G114" s="43">
        <f>'[4]15_16 fleet'!$D74*'Light Vehicle Supporting Data'!G$154</f>
        <v>1843.5268246515857</v>
      </c>
      <c r="H114" s="43">
        <f>'[5]16_17 fleet_v2'!$D74*'Light Vehicle Supporting Data'!H$154</f>
        <v>1805.3485790744351</v>
      </c>
      <c r="I114" s="43">
        <f>'[6]17_18 fleet_v3'!$D75*'Light Vehicle Supporting Data'!I$154</f>
        <v>1832.5836334151109</v>
      </c>
      <c r="J114" s="43">
        <f t="shared" ref="J114:Q114" si="41">$I114*(J94/$I94)</f>
        <v>2029.3241749051529</v>
      </c>
      <c r="K114" s="43">
        <f t="shared" si="41"/>
        <v>2206.2658429294111</v>
      </c>
      <c r="L114" s="43">
        <f t="shared" si="41"/>
        <v>2374.8415885553031</v>
      </c>
      <c r="M114" s="43">
        <f t="shared" si="41"/>
        <v>2544.6396120308564</v>
      </c>
      <c r="N114" s="43">
        <f t="shared" si="41"/>
        <v>2727.7977571463589</v>
      </c>
      <c r="O114" s="56">
        <f t="shared" si="41"/>
        <v>2915.2385078610241</v>
      </c>
      <c r="P114" s="56">
        <f t="shared" si="41"/>
        <v>3089.7297950293705</v>
      </c>
      <c r="Q114" s="57">
        <f t="shared" si="41"/>
        <v>3241.6298735818714</v>
      </c>
      <c r="R114" s="56"/>
      <c r="S114" s="56"/>
      <c r="T114" s="56"/>
      <c r="U114" s="56"/>
      <c r="V114" s="56"/>
      <c r="W114" s="56"/>
      <c r="X114" s="56"/>
    </row>
    <row r="115" spans="3:24" ht="15.5" x14ac:dyDescent="0.35">
      <c r="C115" s="24" t="s">
        <v>5</v>
      </c>
      <c r="D115" s="42">
        <f>'[1]12_13 fleet'!$D74*'Light Vehicle Supporting Data'!D$154</f>
        <v>8441.6617834193949</v>
      </c>
      <c r="E115" s="43">
        <f>'[2]13_14 fleet'!$D75*'Light Vehicle Supporting Data'!E$154</f>
        <v>8455.1268479748505</v>
      </c>
      <c r="F115" s="43">
        <f>'[3]14_15 fleet'!$D75*'Light Vehicle Supporting Data'!F$154</f>
        <v>8652.5448427918509</v>
      </c>
      <c r="G115" s="43">
        <f>'[4]15_16 fleet'!$D75*'Light Vehicle Supporting Data'!G$154</f>
        <v>9039.4865799419767</v>
      </c>
      <c r="H115" s="43">
        <f>'[5]16_17 fleet_v2'!$D75*'Light Vehicle Supporting Data'!H$154</f>
        <v>9551.1346112452375</v>
      </c>
      <c r="I115" s="43">
        <f>'[6]17_18 fleet_v3'!$D76*'Light Vehicle Supporting Data'!I$154</f>
        <v>9734.412025448044</v>
      </c>
      <c r="J115" s="43">
        <f t="shared" ref="J115:Q115" si="42">$I115*(J95/$I95)</f>
        <v>11049.467625201678</v>
      </c>
      <c r="K115" s="43">
        <f t="shared" si="42"/>
        <v>12254.606560827115</v>
      </c>
      <c r="L115" s="43">
        <f t="shared" si="42"/>
        <v>13446.919032947488</v>
      </c>
      <c r="M115" s="43">
        <f t="shared" si="42"/>
        <v>14711.795222785946</v>
      </c>
      <c r="N115" s="43">
        <f t="shared" si="42"/>
        <v>16108.763664058288</v>
      </c>
      <c r="O115" s="56">
        <f t="shared" si="42"/>
        <v>17595.490705776341</v>
      </c>
      <c r="P115" s="56">
        <f t="shared" si="42"/>
        <v>19071.878932765627</v>
      </c>
      <c r="Q115" s="57">
        <f t="shared" si="42"/>
        <v>20476.327315148206</v>
      </c>
      <c r="R115" s="56"/>
      <c r="S115" s="56"/>
      <c r="T115" s="56"/>
      <c r="U115" s="56"/>
      <c r="V115" s="56"/>
      <c r="W115" s="56"/>
      <c r="X115" s="56"/>
    </row>
    <row r="116" spans="3:24" ht="15.5" x14ac:dyDescent="0.35">
      <c r="C116" s="24" t="s">
        <v>6</v>
      </c>
      <c r="D116" s="42">
        <f>'[1]12_13 fleet'!$D75*'Light Vehicle Supporting Data'!D$154</f>
        <v>5341.4807632308666</v>
      </c>
      <c r="E116" s="43">
        <f>'[2]13_14 fleet'!$D76*'Light Vehicle Supporting Data'!E$154</f>
        <v>5577.3608141252353</v>
      </c>
      <c r="F116" s="43">
        <f>'[3]14_15 fleet'!$D76*'Light Vehicle Supporting Data'!F$154</f>
        <v>5629.9091660733566</v>
      </c>
      <c r="G116" s="43">
        <f>'[4]15_16 fleet'!$D76*'Light Vehicle Supporting Data'!G$154</f>
        <v>5787.7934999783492</v>
      </c>
      <c r="H116" s="43">
        <f>'[5]16_17 fleet_v2'!$D76*'Light Vehicle Supporting Data'!H$154</f>
        <v>5859.3769015969056</v>
      </c>
      <c r="I116" s="43">
        <f>'[6]17_18 fleet_v3'!$D77*'Light Vehicle Supporting Data'!I$154</f>
        <v>6027.208432783068</v>
      </c>
      <c r="J116" s="43">
        <f t="shared" ref="J116:Q116" si="43">$I116*(J96/$I96)</f>
        <v>6899.0801621903638</v>
      </c>
      <c r="K116" s="43">
        <f t="shared" si="43"/>
        <v>7707.0443958875048</v>
      </c>
      <c r="L116" s="43">
        <f t="shared" si="43"/>
        <v>8527.3945791083479</v>
      </c>
      <c r="M116" s="43">
        <f t="shared" si="43"/>
        <v>9410.9518398690725</v>
      </c>
      <c r="N116" s="43">
        <f t="shared" si="43"/>
        <v>10393.492977888089</v>
      </c>
      <c r="O116" s="56">
        <f t="shared" si="43"/>
        <v>11448.572470879617</v>
      </c>
      <c r="P116" s="56">
        <f t="shared" si="43"/>
        <v>12511.575284246153</v>
      </c>
      <c r="Q116" s="57">
        <f t="shared" si="43"/>
        <v>13541.161755678273</v>
      </c>
      <c r="R116" s="56"/>
      <c r="S116" s="56"/>
      <c r="T116" s="56"/>
      <c r="U116" s="56"/>
      <c r="V116" s="56"/>
      <c r="W116" s="56"/>
      <c r="X116" s="56"/>
    </row>
    <row r="117" spans="3:24" ht="15.5" x14ac:dyDescent="0.35">
      <c r="C117" s="24" t="s">
        <v>7</v>
      </c>
      <c r="D117" s="42">
        <f>'[1]12_13 fleet'!$D76*'Light Vehicle Supporting Data'!D$154</f>
        <v>11565.86745471691</v>
      </c>
      <c r="E117" s="43">
        <f>'[2]13_14 fleet'!$D77*'Light Vehicle Supporting Data'!E$154</f>
        <v>11592.142065395612</v>
      </c>
      <c r="F117" s="43">
        <f>'[3]14_15 fleet'!$D77*'Light Vehicle Supporting Data'!F$154</f>
        <v>11746.24248409545</v>
      </c>
      <c r="G117" s="43">
        <f>'[4]15_16 fleet'!$D77*'Light Vehicle Supporting Data'!G$154</f>
        <v>12265.158108634734</v>
      </c>
      <c r="H117" s="43">
        <f>'[5]16_17 fleet_v2'!$D77*'Light Vehicle Supporting Data'!H$154</f>
        <v>12400.262884318916</v>
      </c>
      <c r="I117" s="43">
        <f>'[6]17_18 fleet_v3'!$D78*'Light Vehicle Supporting Data'!I$154</f>
        <v>12410.724770260718</v>
      </c>
      <c r="J117" s="43">
        <f t="shared" ref="J117:Q117" si="44">$I117*(J97/$I97)</f>
        <v>13917.514174972217</v>
      </c>
      <c r="K117" s="43">
        <f t="shared" si="44"/>
        <v>15280.245634944171</v>
      </c>
      <c r="L117" s="43">
        <f t="shared" si="44"/>
        <v>16600.900728898079</v>
      </c>
      <c r="M117" s="43">
        <f t="shared" si="44"/>
        <v>17981.573833219245</v>
      </c>
      <c r="N117" s="43">
        <f t="shared" si="44"/>
        <v>19469.554936430213</v>
      </c>
      <c r="O117" s="56">
        <f t="shared" si="44"/>
        <v>21027.847415229771</v>
      </c>
      <c r="P117" s="56">
        <f t="shared" si="44"/>
        <v>22535.180347809652</v>
      </c>
      <c r="Q117" s="57">
        <f t="shared" si="44"/>
        <v>23920.772194637266</v>
      </c>
      <c r="R117" s="56"/>
      <c r="S117" s="56"/>
      <c r="T117" s="56"/>
      <c r="U117" s="56"/>
      <c r="V117" s="56"/>
      <c r="W117" s="56"/>
      <c r="X117" s="56"/>
    </row>
    <row r="118" spans="3:24" ht="15.5" x14ac:dyDescent="0.35">
      <c r="C118" s="24" t="s">
        <v>8</v>
      </c>
      <c r="D118" s="42">
        <f>'[1]12_13 fleet'!$D77*'Light Vehicle Supporting Data'!D$154</f>
        <v>25049.702889634405</v>
      </c>
      <c r="E118" s="43">
        <f>'[2]13_14 fleet'!$D78*'Light Vehicle Supporting Data'!E$154</f>
        <v>25450.462322316627</v>
      </c>
      <c r="F118" s="43">
        <f>'[3]14_15 fleet'!$D78*'Light Vehicle Supporting Data'!F$154</f>
        <v>25818.513217427251</v>
      </c>
      <c r="G118" s="43">
        <f>'[4]15_16 fleet'!$D78*'Light Vehicle Supporting Data'!G$154</f>
        <v>27126.466370986196</v>
      </c>
      <c r="H118" s="43">
        <f>'[5]16_17 fleet_v2'!$D78*'Light Vehicle Supporting Data'!H$154</f>
        <v>27968.892509962479</v>
      </c>
      <c r="I118" s="43">
        <f>'[6]17_18 fleet_v3'!$D79*'Light Vehicle Supporting Data'!I$154</f>
        <v>28775.866763690799</v>
      </c>
      <c r="J118" s="43">
        <f t="shared" ref="J118:Q118" si="45">$I118*(J98/$I98)</f>
        <v>33063.177771574366</v>
      </c>
      <c r="K118" s="43">
        <f t="shared" si="45"/>
        <v>37067.690914037776</v>
      </c>
      <c r="L118" s="43">
        <f t="shared" si="45"/>
        <v>41125.674649722168</v>
      </c>
      <c r="M118" s="43">
        <f t="shared" si="45"/>
        <v>45482.324340006897</v>
      </c>
      <c r="N118" s="43">
        <f t="shared" si="45"/>
        <v>50291.753660316375</v>
      </c>
      <c r="O118" s="56">
        <f t="shared" si="45"/>
        <v>55453.259586745298</v>
      </c>
      <c r="P118" s="56">
        <f t="shared" si="45"/>
        <v>60651.942153526048</v>
      </c>
      <c r="Q118" s="57">
        <f t="shared" si="45"/>
        <v>65684.714905069792</v>
      </c>
      <c r="R118" s="56"/>
      <c r="S118" s="56"/>
      <c r="T118" s="56"/>
      <c r="U118" s="56"/>
      <c r="V118" s="56"/>
      <c r="W118" s="56"/>
      <c r="X118" s="56"/>
    </row>
    <row r="119" spans="3:24" ht="15.5" x14ac:dyDescent="0.35">
      <c r="C119" s="24" t="s">
        <v>9</v>
      </c>
      <c r="D119" s="42">
        <f>'[1]12_13 fleet'!$D78*'Light Vehicle Supporting Data'!D$154</f>
        <v>9663.9159085889769</v>
      </c>
      <c r="E119" s="43">
        <f>'[2]13_14 fleet'!$D79*'Light Vehicle Supporting Data'!E$154</f>
        <v>9966.579617057605</v>
      </c>
      <c r="F119" s="43">
        <f>'[3]14_15 fleet'!$D79*'Light Vehicle Supporting Data'!F$154</f>
        <v>10201.895845295239</v>
      </c>
      <c r="G119" s="43">
        <f>'[4]15_16 fleet'!$D79*'Light Vehicle Supporting Data'!G$154</f>
        <v>11263.328384706267</v>
      </c>
      <c r="H119" s="43">
        <f>'[5]16_17 fleet_v2'!$D79*'Light Vehicle Supporting Data'!H$154</f>
        <v>12247.148509264378</v>
      </c>
      <c r="I119" s="43">
        <f>'[6]17_18 fleet_v3'!$D80*'Light Vehicle Supporting Data'!I$154</f>
        <v>14045.137153311989</v>
      </c>
      <c r="J119" s="43">
        <f t="shared" ref="J119:Q119" si="46">$I119*(J99/$I99)</f>
        <v>15730.479891189909</v>
      </c>
      <c r="K119" s="43">
        <f t="shared" si="46"/>
        <v>17270.852116186397</v>
      </c>
      <c r="L119" s="43">
        <f t="shared" si="46"/>
        <v>18762.091680783153</v>
      </c>
      <c r="M119" s="43">
        <f t="shared" si="46"/>
        <v>20307.8861112411</v>
      </c>
      <c r="N119" s="43">
        <f t="shared" si="46"/>
        <v>21941.371686017024</v>
      </c>
      <c r="O119" s="56">
        <f t="shared" si="46"/>
        <v>23635.203657016991</v>
      </c>
      <c r="P119" s="56">
        <f t="shared" si="46"/>
        <v>25249.914478778799</v>
      </c>
      <c r="Q119" s="57">
        <f t="shared" si="46"/>
        <v>26704.073587640189</v>
      </c>
      <c r="R119" s="56"/>
      <c r="S119" s="56"/>
      <c r="T119" s="56"/>
      <c r="U119" s="56"/>
      <c r="V119" s="56"/>
      <c r="W119" s="56"/>
      <c r="X119" s="56"/>
    </row>
    <row r="120" spans="3:24" ht="15.5" x14ac:dyDescent="0.35">
      <c r="C120" s="24" t="s">
        <v>10</v>
      </c>
      <c r="D120" s="42">
        <f>'[1]12_13 fleet'!$D79*'Light Vehicle Supporting Data'!D$154</f>
        <v>1777.8241820648461</v>
      </c>
      <c r="E120" s="43">
        <f>'[2]13_14 fleet'!$D80*'Light Vehicle Supporting Data'!E$154</f>
        <v>1764.6961800615202</v>
      </c>
      <c r="F120" s="43">
        <f>'[3]14_15 fleet'!$D80*'Light Vehicle Supporting Data'!F$154</f>
        <v>1785.5569692933097</v>
      </c>
      <c r="G120" s="43">
        <f>'[4]15_16 fleet'!$D80*'Light Vehicle Supporting Data'!G$154</f>
        <v>1763.4605130489108</v>
      </c>
      <c r="H120" s="43">
        <f>'[5]16_17 fleet_v2'!$D80*'Light Vehicle Supporting Data'!H$154</f>
        <v>1659.2394368655284</v>
      </c>
      <c r="I120" s="43">
        <f>'[6]17_18 fleet_v3'!$D81*'Light Vehicle Supporting Data'!I$154</f>
        <v>1805.5602810927689</v>
      </c>
      <c r="J120" s="43">
        <f t="shared" ref="J120:Q120" si="47">$I120*(J100/$I100)</f>
        <v>1962.9733686725847</v>
      </c>
      <c r="K120" s="43">
        <f t="shared" si="47"/>
        <v>2095.5446840344121</v>
      </c>
      <c r="L120" s="43">
        <f t="shared" si="47"/>
        <v>2214.4399625437527</v>
      </c>
      <c r="M120" s="43">
        <f t="shared" si="47"/>
        <v>2332.7783196936634</v>
      </c>
      <c r="N120" s="43">
        <f t="shared" si="47"/>
        <v>2459.45915983247</v>
      </c>
      <c r="O120" s="56">
        <f t="shared" si="47"/>
        <v>2585.1265013176703</v>
      </c>
      <c r="P120" s="56">
        <f t="shared" si="47"/>
        <v>2694.6878810526637</v>
      </c>
      <c r="Q120" s="57">
        <f t="shared" si="47"/>
        <v>2780.5560551353442</v>
      </c>
      <c r="R120" s="56"/>
      <c r="S120" s="56"/>
      <c r="T120" s="56"/>
      <c r="U120" s="56"/>
      <c r="V120" s="56"/>
      <c r="W120" s="56"/>
      <c r="X120" s="56"/>
    </row>
    <row r="121" spans="3:24" ht="15.5" x14ac:dyDescent="0.35">
      <c r="C121" s="24" t="s">
        <v>11</v>
      </c>
      <c r="D121" s="42">
        <f>'[1]12_13 fleet'!$D80*'Light Vehicle Supporting Data'!D$154</f>
        <v>45447.632708291712</v>
      </c>
      <c r="E121" s="43">
        <f>'[2]13_14 fleet'!$D81*'Light Vehicle Supporting Data'!E$154</f>
        <v>47120.290797728907</v>
      </c>
      <c r="F121" s="43">
        <f>'[3]14_15 fleet'!$D81*'Light Vehicle Supporting Data'!F$154</f>
        <v>48980.710181208517</v>
      </c>
      <c r="G121" s="43">
        <f>'[4]15_16 fleet'!$D81*'Light Vehicle Supporting Data'!G$154</f>
        <v>50680.974415598066</v>
      </c>
      <c r="H121" s="43">
        <f>'[5]16_17 fleet_v2'!$D81*'Light Vehicle Supporting Data'!H$154</f>
        <v>53361.860827830948</v>
      </c>
      <c r="I121" s="43">
        <f>'[6]17_18 fleet_v3'!$D82*'Light Vehicle Supporting Data'!I$154</f>
        <v>54831.382726932512</v>
      </c>
      <c r="J121" s="43">
        <f t="shared" ref="J121:Q121" si="48">$I121*(J101/$I101)</f>
        <v>64187.224508570172</v>
      </c>
      <c r="K121" s="43">
        <f t="shared" si="48"/>
        <v>72853.638051040543</v>
      </c>
      <c r="L121" s="43">
        <f t="shared" si="48"/>
        <v>81785.490156559448</v>
      </c>
      <c r="M121" s="43">
        <f t="shared" si="48"/>
        <v>91514.857553995273</v>
      </c>
      <c r="N121" s="43">
        <f t="shared" si="48"/>
        <v>102367.09499915468</v>
      </c>
      <c r="O121" s="56">
        <f t="shared" si="48"/>
        <v>114167.34799849657</v>
      </c>
      <c r="P121" s="56">
        <f t="shared" si="48"/>
        <v>126282.6946874448</v>
      </c>
      <c r="Q121" s="57">
        <f t="shared" si="48"/>
        <v>138285.74518705482</v>
      </c>
      <c r="R121" s="56"/>
      <c r="S121" s="56"/>
      <c r="T121" s="56"/>
      <c r="U121" s="56"/>
      <c r="V121" s="56"/>
      <c r="W121" s="56"/>
      <c r="X121" s="56"/>
    </row>
    <row r="122" spans="3:24" ht="15.5" x14ac:dyDescent="0.35">
      <c r="C122" s="24" t="s">
        <v>12</v>
      </c>
      <c r="D122" s="42">
        <f>'[1]12_13 fleet'!$D81*'Light Vehicle Supporting Data'!D$154</f>
        <v>12841.176017752165</v>
      </c>
      <c r="E122" s="43">
        <f>'[2]13_14 fleet'!$D82*'Light Vehicle Supporting Data'!E$154</f>
        <v>13536.010461129858</v>
      </c>
      <c r="F122" s="43">
        <f>'[3]14_15 fleet'!$D82*'Light Vehicle Supporting Data'!F$154</f>
        <v>13908.127603867619</v>
      </c>
      <c r="G122" s="43">
        <f>'[4]15_16 fleet'!$D82*'Light Vehicle Supporting Data'!G$154</f>
        <v>15162.557759756526</v>
      </c>
      <c r="H122" s="43">
        <f>'[5]16_17 fleet_v2'!$D82*'Light Vehicle Supporting Data'!H$154</f>
        <v>16579.384650513395</v>
      </c>
      <c r="I122" s="43">
        <f>'[6]17_18 fleet_v3'!$D83*'Light Vehicle Supporting Data'!I$154</f>
        <v>25399.949453199719</v>
      </c>
      <c r="J122" s="43">
        <f t="shared" ref="J122:Q122" si="49">$I122*(J102/$I102)</f>
        <v>29654.218610758537</v>
      </c>
      <c r="K122" s="43">
        <f t="shared" si="49"/>
        <v>33491.848253243603</v>
      </c>
      <c r="L122" s="43">
        <f t="shared" si="49"/>
        <v>37423.158497228913</v>
      </c>
      <c r="M122" s="43">
        <f t="shared" si="49"/>
        <v>41664.659940916732</v>
      </c>
      <c r="N122" s="43">
        <f t="shared" si="49"/>
        <v>46386.322535770094</v>
      </c>
      <c r="O122" s="56">
        <f t="shared" si="49"/>
        <v>51487.616298863126</v>
      </c>
      <c r="P122" s="56">
        <f t="shared" si="49"/>
        <v>56678.346669537743</v>
      </c>
      <c r="Q122" s="57">
        <f t="shared" si="49"/>
        <v>61765.707565706594</v>
      </c>
      <c r="R122" s="56"/>
      <c r="S122" s="56"/>
      <c r="T122" s="56"/>
      <c r="U122" s="56"/>
      <c r="V122" s="56"/>
      <c r="W122" s="56"/>
      <c r="X122" s="56"/>
    </row>
    <row r="123" spans="3:24" ht="16" thickBot="1" x14ac:dyDescent="0.4">
      <c r="C123" s="25" t="s">
        <v>13</v>
      </c>
      <c r="D123" s="45">
        <f>'[1]12_13 fleet'!$D82*'Light Vehicle Supporting Data'!D$154</f>
        <v>5199.3349108360417</v>
      </c>
      <c r="E123" s="46">
        <f>'[2]13_14 fleet'!$D83*'Light Vehicle Supporting Data'!E$154</f>
        <v>5317.1106684553579</v>
      </c>
      <c r="F123" s="46">
        <f>'[3]14_15 fleet'!$D83*'Light Vehicle Supporting Data'!F$154</f>
        <v>5307.6281435888013</v>
      </c>
      <c r="G123" s="46">
        <f>'[4]15_16 fleet'!$D83*'Light Vehicle Supporting Data'!G$154</f>
        <v>5576.6186031262951</v>
      </c>
      <c r="H123" s="46">
        <f>'[5]16_17 fleet_v2'!$D83*'Light Vehicle Supporting Data'!H$154</f>
        <v>5840.3626981587604</v>
      </c>
      <c r="I123" s="46">
        <f>'[6]17_18 fleet_v3'!$D84*'Light Vehicle Supporting Data'!I$154</f>
        <v>5772.9887479728886</v>
      </c>
      <c r="J123" s="46">
        <f t="shared" ref="J123:Q123" si="50">$I123*(J103/$I103)</f>
        <v>6333.2339541688125</v>
      </c>
      <c r="K123" s="46">
        <f t="shared" si="50"/>
        <v>6836.7986796610339</v>
      </c>
      <c r="L123" s="46">
        <f t="shared" si="50"/>
        <v>7315.2911408710288</v>
      </c>
      <c r="M123" s="46">
        <f t="shared" si="50"/>
        <v>7807.0963686085652</v>
      </c>
      <c r="N123" s="46">
        <f t="shared" si="50"/>
        <v>8335.1571196218738</v>
      </c>
      <c r="O123" s="59">
        <f t="shared" si="50"/>
        <v>8871.8477639301964</v>
      </c>
      <c r="P123" s="59">
        <f t="shared" si="50"/>
        <v>9364.8075297742671</v>
      </c>
      <c r="Q123" s="60">
        <f t="shared" si="50"/>
        <v>9785.4352411194668</v>
      </c>
      <c r="R123" s="56"/>
      <c r="S123" s="56"/>
      <c r="T123" s="56"/>
      <c r="U123" s="56"/>
      <c r="V123" s="56"/>
      <c r="W123" s="56"/>
      <c r="X123" s="56"/>
    </row>
    <row r="124" spans="3:24" ht="16.5" thickTop="1" thickBot="1" x14ac:dyDescent="0.4">
      <c r="C124" s="20" t="s">
        <v>24</v>
      </c>
      <c r="D124" s="48">
        <f t="shared" ref="D124:Q124" si="51">SUM(D110:D123)</f>
        <v>285554</v>
      </c>
      <c r="E124" s="48">
        <f t="shared" si="51"/>
        <v>295472</v>
      </c>
      <c r="F124" s="48">
        <f t="shared" si="51"/>
        <v>305053</v>
      </c>
      <c r="G124" s="48">
        <f t="shared" si="51"/>
        <v>323589.99999999994</v>
      </c>
      <c r="H124" s="48">
        <f t="shared" si="51"/>
        <v>344047.00000000012</v>
      </c>
      <c r="I124" s="48">
        <f t="shared" si="51"/>
        <v>361047</v>
      </c>
      <c r="J124" s="48">
        <f t="shared" si="51"/>
        <v>417292.61312028061</v>
      </c>
      <c r="K124" s="48">
        <f t="shared" si="51"/>
        <v>469276.38902348233</v>
      </c>
      <c r="L124" s="48">
        <f t="shared" si="51"/>
        <v>522235.63775429165</v>
      </c>
      <c r="M124" s="48">
        <f t="shared" si="51"/>
        <v>579284.0879935032</v>
      </c>
      <c r="N124" s="48">
        <f t="shared" si="51"/>
        <v>642487.20135234506</v>
      </c>
      <c r="O124" s="62">
        <f t="shared" si="51"/>
        <v>710631.22919455136</v>
      </c>
      <c r="P124" s="62">
        <f t="shared" si="51"/>
        <v>779719.18692262401</v>
      </c>
      <c r="Q124" s="63">
        <f t="shared" si="51"/>
        <v>847143.59467596654</v>
      </c>
      <c r="R124" s="43"/>
      <c r="S124" s="56"/>
      <c r="T124" s="56"/>
      <c r="U124" s="56"/>
      <c r="V124" s="56"/>
      <c r="W124" s="56"/>
      <c r="X124" s="56"/>
    </row>
    <row r="125" spans="3:24" ht="16.5" thickTop="1" thickBot="1" x14ac:dyDescent="0.4">
      <c r="C125" s="31" t="s">
        <v>96</v>
      </c>
      <c r="D125" s="48">
        <f>SUM('[1]12_13 fleet'!$D$68:$D$82)</f>
        <v>285554</v>
      </c>
      <c r="E125" s="48">
        <f>SUM('[2]13_14 fleet'!$D$69:$D$83)</f>
        <v>295472</v>
      </c>
      <c r="F125" s="48">
        <f>SUM('[3]14_15 fleet'!$D$69:$D$83)</f>
        <v>305053</v>
      </c>
      <c r="G125" s="48">
        <f>SUM('[4]15_16 fleet'!$D$69:$D$83)</f>
        <v>323590</v>
      </c>
      <c r="H125" s="48">
        <f>SUM('[5]16_17 fleet_v2'!$D$69:$D$83)</f>
        <v>344047</v>
      </c>
      <c r="I125" s="48">
        <f>SUM('[6]17_18 fleet_v3'!$D$70:$D$84)</f>
        <v>361047</v>
      </c>
      <c r="J125" s="62"/>
      <c r="K125" s="62"/>
      <c r="L125" s="62"/>
      <c r="M125" s="62"/>
      <c r="N125" s="62"/>
      <c r="O125" s="62"/>
      <c r="P125" s="62"/>
      <c r="Q125" s="63"/>
      <c r="R125" s="56"/>
    </row>
    <row r="126" spans="3:24" ht="13" thickTop="1" x14ac:dyDescent="0.25">
      <c r="N126" s="121"/>
    </row>
    <row r="127" spans="3:24" ht="13" thickBot="1" x14ac:dyDescent="0.3">
      <c r="N127" s="121"/>
    </row>
    <row r="128" spans="3:24" ht="16" thickTop="1" x14ac:dyDescent="0.35">
      <c r="C128" s="32" t="s">
        <v>122</v>
      </c>
      <c r="D128" s="33"/>
      <c r="E128" s="33"/>
      <c r="F128" s="33"/>
      <c r="G128" s="33"/>
      <c r="H128" s="33"/>
      <c r="I128" s="33"/>
      <c r="J128" s="34"/>
      <c r="K128" s="34"/>
      <c r="L128" s="34"/>
      <c r="M128" s="34"/>
      <c r="N128" s="34"/>
      <c r="O128" s="34"/>
      <c r="P128" s="34"/>
      <c r="Q128" s="35"/>
      <c r="R128" s="121"/>
    </row>
    <row r="129" spans="3:18" ht="13.5" thickBot="1" x14ac:dyDescent="0.35">
      <c r="C129" s="36"/>
      <c r="D129" s="37" t="s">
        <v>25</v>
      </c>
      <c r="E129" s="37" t="s">
        <v>37</v>
      </c>
      <c r="F129" s="37" t="s">
        <v>38</v>
      </c>
      <c r="G129" s="37" t="s">
        <v>177</v>
      </c>
      <c r="H129" s="37" t="s">
        <v>178</v>
      </c>
      <c r="I129" s="37" t="s">
        <v>26</v>
      </c>
      <c r="J129" s="37" t="s">
        <v>27</v>
      </c>
      <c r="K129" s="37" t="s">
        <v>28</v>
      </c>
      <c r="L129" s="37" t="s">
        <v>29</v>
      </c>
      <c r="M129" s="37" t="s">
        <v>30</v>
      </c>
      <c r="N129" s="37" t="s">
        <v>31</v>
      </c>
      <c r="O129" s="37" t="s">
        <v>174</v>
      </c>
      <c r="P129" s="37" t="s">
        <v>175</v>
      </c>
      <c r="Q129" s="38" t="s">
        <v>176</v>
      </c>
      <c r="R129" s="65"/>
    </row>
    <row r="130" spans="3:18" ht="14" thickTop="1" thickBot="1" x14ac:dyDescent="0.35">
      <c r="C130" s="70"/>
      <c r="D130" s="65" t="s">
        <v>39</v>
      </c>
      <c r="E130" s="65" t="s">
        <v>39</v>
      </c>
      <c r="F130" s="65" t="s">
        <v>39</v>
      </c>
      <c r="G130" s="65" t="s">
        <v>39</v>
      </c>
      <c r="H130" s="65" t="s">
        <v>39</v>
      </c>
      <c r="I130" s="65" t="s">
        <v>39</v>
      </c>
      <c r="J130" s="65" t="s">
        <v>32</v>
      </c>
      <c r="K130" s="65" t="s">
        <v>32</v>
      </c>
      <c r="L130" s="65" t="s">
        <v>32</v>
      </c>
      <c r="M130" s="65" t="s">
        <v>32</v>
      </c>
      <c r="N130" s="65" t="s">
        <v>32</v>
      </c>
      <c r="O130" s="65" t="s">
        <v>32</v>
      </c>
      <c r="P130" s="65" t="s">
        <v>32</v>
      </c>
      <c r="Q130" s="66" t="s">
        <v>32</v>
      </c>
      <c r="R130" s="65"/>
    </row>
    <row r="131" spans="3:18" ht="16" thickTop="1" x14ac:dyDescent="0.35">
      <c r="C131" s="24" t="s">
        <v>0</v>
      </c>
      <c r="D131" s="52">
        <f>D7*(('[1]12_13 fleet'!$D257+'[1]12_13 fleet'!$D272)/'Original 2012-13 Data'!$C6)/1000000</f>
        <v>4.4043644080415794</v>
      </c>
      <c r="E131" s="53">
        <f>$E$7*(('[2]13_14 fleet'!$D259+'[2]13_14 fleet'!$D274)/'Original 2013-14 Data'!$C$6)/1000000</f>
        <v>4.5083345300155786</v>
      </c>
      <c r="F131" s="53">
        <f>F7*(('[3]14_15 fleet'!$D259+'[3]14_15 fleet'!$D274)/'Original 2014-15 Data'!$C6)/1000000</f>
        <v>4.2156135588657904</v>
      </c>
      <c r="G131" s="53">
        <f>G7*(('[4]15_16 fleet'!$D259+'[4]15_16 fleet'!$D274)/'Original 2015-16 Data'!$C6)/1000000</f>
        <v>4.1778978535648497</v>
      </c>
      <c r="H131" s="53">
        <f>H7*(('[5]16_17 fleet_v2'!$D259+'[5]16_17 fleet_v2'!$D274)/'Original 2016-17 Data'!$C6)/1000000</f>
        <v>4.5016576279815252</v>
      </c>
      <c r="I131" s="53">
        <f>I7*(('[6]17_18 fleet_v3'!$D261+'[6]17_18 fleet_v3'!$D276)/'Original 2017-18 Data'!$C6)/1000000</f>
        <v>4.9352792593227859</v>
      </c>
      <c r="J131" s="53">
        <f ca="1">$I131*(Taxi_Household_Share*('Taxi-Vehicle Share Supporting D'!J116/'Taxi-Vehicle Share Supporting D'!$I116)+Taxi_Tourist_Share*('Taxi-Vehicle Share Supporting D'!J137/'Taxi-Vehicle Share Supporting D'!$I137)+Taxi_Commercial_Share*('Taxi-Vehicle Share Supporting D'!J200/'Taxi-Vehicle Share Supporting D'!$I200))+'Taxi-Vehicle Share Supporting D'!J95*($I49/($I49+'Van+Ute'!$I49))+'Taxi-Vehicle Share Supporting D'!J158</f>
        <v>5.7950503041052821</v>
      </c>
      <c r="K131" s="53">
        <f ca="1">$I131*(Taxi_Household_Share*('Taxi-Vehicle Share Supporting D'!K116/'Taxi-Vehicle Share Supporting D'!$I116)+Taxi_Tourist_Share*('Taxi-Vehicle Share Supporting D'!K137/'Taxi-Vehicle Share Supporting D'!$I137)+Taxi_Commercial_Share*('Taxi-Vehicle Share Supporting D'!K200/'Taxi-Vehicle Share Supporting D'!$I200))+'Taxi-Vehicle Share Supporting D'!K95*($I49/($I49+'Van+Ute'!$I49))+'Taxi-Vehicle Share Supporting D'!K158</f>
        <v>146.90644292601777</v>
      </c>
      <c r="L131" s="53">
        <f ca="1">$I131*(Taxi_Household_Share*('Taxi-Vehicle Share Supporting D'!L116/'Taxi-Vehicle Share Supporting D'!$I116)+Taxi_Tourist_Share*('Taxi-Vehicle Share Supporting D'!L137/'Taxi-Vehicle Share Supporting D'!$I137)+Taxi_Commercial_Share*('Taxi-Vehicle Share Supporting D'!L200/'Taxi-Vehicle Share Supporting D'!$I200))+'Taxi-Vehicle Share Supporting D'!L95*($I49/($I49+'Van+Ute'!$I49))+'Taxi-Vehicle Share Supporting D'!L158</f>
        <v>298.10411304046158</v>
      </c>
      <c r="M131" s="53">
        <f ca="1">$I131*(Taxi_Household_Share*('Taxi-Vehicle Share Supporting D'!M116/'Taxi-Vehicle Share Supporting D'!$I116)+Taxi_Tourist_Share*('Taxi-Vehicle Share Supporting D'!M137/'Taxi-Vehicle Share Supporting D'!$I137)+Taxi_Commercial_Share*('Taxi-Vehicle Share Supporting D'!M200/'Taxi-Vehicle Share Supporting D'!$I200))+'Taxi-Vehicle Share Supporting D'!M95*($I49/($I49+'Van+Ute'!$I49))+'Taxi-Vehicle Share Supporting D'!M158</f>
        <v>454.38318141424571</v>
      </c>
      <c r="N131" s="53">
        <f ca="1">$I131*(Taxi_Household_Share*('Taxi-Vehicle Share Supporting D'!N116/'Taxi-Vehicle Share Supporting D'!$I116)+Taxi_Tourist_Share*('Taxi-Vehicle Share Supporting D'!N137/'Taxi-Vehicle Share Supporting D'!$I137)+Taxi_Commercial_Share*('Taxi-Vehicle Share Supporting D'!N200/'Taxi-Vehicle Share Supporting D'!$I200))+'Taxi-Vehicle Share Supporting D'!N95*($I49/($I49+'Van+Ute'!$I49))+'Taxi-Vehicle Share Supporting D'!N158</f>
        <v>614.08296317338477</v>
      </c>
      <c r="O131" s="156">
        <f ca="1">$I131*(Taxi_Household_Share*('Taxi-Vehicle Share Supporting D'!O116/'Taxi-Vehicle Share Supporting D'!$I116)+Taxi_Tourist_Share*('Taxi-Vehicle Share Supporting D'!O137/'Taxi-Vehicle Share Supporting D'!$I137)+Taxi_Commercial_Share*('Taxi-Vehicle Share Supporting D'!O200/'Taxi-Vehicle Share Supporting D'!$I200))+'Taxi-Vehicle Share Supporting D'!O95*($I49/($I49+'Van+Ute'!$I49))+'Taxi-Vehicle Share Supporting D'!O158</f>
        <v>777.08624295585298</v>
      </c>
      <c r="P131" s="156">
        <f ca="1">$I131*(Taxi_Household_Share*('Taxi-Vehicle Share Supporting D'!P116/'Taxi-Vehicle Share Supporting D'!$I116)+Taxi_Tourist_Share*('Taxi-Vehicle Share Supporting D'!P137/'Taxi-Vehicle Share Supporting D'!$I137)+Taxi_Commercial_Share*('Taxi-Vehicle Share Supporting D'!P200/'Taxi-Vehicle Share Supporting D'!$I200))+'Taxi-Vehicle Share Supporting D'!P95*($I49/($I49+'Van+Ute'!$I49))+'Taxi-Vehicle Share Supporting D'!P158</f>
        <v>942.13591934432748</v>
      </c>
      <c r="Q131" s="157">
        <f ca="1">$I131*(Taxi_Household_Share*('Taxi-Vehicle Share Supporting D'!Q116/'Taxi-Vehicle Share Supporting D'!$I116)+Taxi_Tourist_Share*('Taxi-Vehicle Share Supporting D'!Q137/'Taxi-Vehicle Share Supporting D'!$I137)+Taxi_Commercial_Share*('Taxi-Vehicle Share Supporting D'!Q200/'Taxi-Vehicle Share Supporting D'!$I200))+'Taxi-Vehicle Share Supporting D'!Q95*($I49/($I49+'Van+Ute'!$I49))+'Taxi-Vehicle Share Supporting D'!Q158</f>
        <v>1109.0834291848091</v>
      </c>
      <c r="R131" s="56"/>
    </row>
    <row r="132" spans="3:18" ht="15.5" x14ac:dyDescent="0.35">
      <c r="C132" s="24" t="s">
        <v>1</v>
      </c>
      <c r="D132" s="55">
        <f>D8*(('[1]12_13 fleet'!$D258+'[1]12_13 fleet'!$D273)/'Original 2012-13 Data'!$C7)/1000000</f>
        <v>125.50004487820677</v>
      </c>
      <c r="E132" s="56">
        <f>E8*(('[2]13_14 fleet'!$D260+'[2]13_14 fleet'!$D275)/'Original 2013-14 Data'!$C7)/1000000</f>
        <v>128.68620800416673</v>
      </c>
      <c r="F132" s="56">
        <f>F8*(('[3]14_15 fleet'!$D260+'[3]14_15 fleet'!$D275)/'Original 2014-15 Data'!$C7)/1000000</f>
        <v>131.88375276671914</v>
      </c>
      <c r="G132" s="56">
        <f>G8*(('[4]15_16 fleet'!$D260+'[4]15_16 fleet'!$D275)/'Original 2015-16 Data'!$C7)/1000000</f>
        <v>146.61613042163253</v>
      </c>
      <c r="H132" s="56">
        <f>H8*(('[5]16_17 fleet_v2'!$D260+'[5]16_17 fleet_v2'!$D275)/'Original 2016-17 Data'!$C7)/1000000</f>
        <v>171.41464682643965</v>
      </c>
      <c r="I132" s="56">
        <f>I8*(('[6]17_18 fleet_v3'!$D262+'[6]17_18 fleet_v3'!$D277)/'Original 2017-18 Data'!$C7)/1000000</f>
        <v>248.09323318355956</v>
      </c>
      <c r="J132" s="56">
        <f ca="1">$I132*(Taxi_Household_Share*('Taxi-Vehicle Share Supporting D'!J117/'Taxi-Vehicle Share Supporting D'!$I117)+Taxi_Tourist_Share*('Taxi-Vehicle Share Supporting D'!J138/'Taxi-Vehicle Share Supporting D'!$I138)+Taxi_Commercial_Share*('Taxi-Vehicle Share Supporting D'!J201/'Taxi-Vehicle Share Supporting D'!$I201))+'Taxi-Vehicle Share Supporting D'!J96*($I50/($I50+'Van+Ute'!$I50))+'Taxi-Vehicle Share Supporting D'!J159</f>
        <v>296.44932062469229</v>
      </c>
      <c r="K132" s="56">
        <f ca="1">$I132*(Taxi_Household_Share*('Taxi-Vehicle Share Supporting D'!K117/'Taxi-Vehicle Share Supporting D'!$I117)+Taxi_Tourist_Share*('Taxi-Vehicle Share Supporting D'!K138/'Taxi-Vehicle Share Supporting D'!$I138)+Taxi_Commercial_Share*('Taxi-Vehicle Share Supporting D'!K201/'Taxi-Vehicle Share Supporting D'!$I201))+'Taxi-Vehicle Share Supporting D'!K96*($I50/($I50+'Van+Ute'!$I50))+'Taxi-Vehicle Share Supporting D'!K159</f>
        <v>1302.6354936902521</v>
      </c>
      <c r="L132" s="56">
        <f ca="1">$I132*(Taxi_Household_Share*('Taxi-Vehicle Share Supporting D'!L117/'Taxi-Vehicle Share Supporting D'!$I117)+Taxi_Tourist_Share*('Taxi-Vehicle Share Supporting D'!L138/'Taxi-Vehicle Share Supporting D'!$I138)+Taxi_Commercial_Share*('Taxi-Vehicle Share Supporting D'!L201/'Taxi-Vehicle Share Supporting D'!$I201))+'Taxi-Vehicle Share Supporting D'!L96*($I50/($I50+'Van+Ute'!$I50))+'Taxi-Vehicle Share Supporting D'!L159</f>
        <v>2403.146530875028</v>
      </c>
      <c r="M132" s="56">
        <f ca="1">$I132*(Taxi_Household_Share*('Taxi-Vehicle Share Supporting D'!M117/'Taxi-Vehicle Share Supporting D'!$I117)+Taxi_Tourist_Share*('Taxi-Vehicle Share Supporting D'!M138/'Taxi-Vehicle Share Supporting D'!$I138)+Taxi_Commercial_Share*('Taxi-Vehicle Share Supporting D'!M201/'Taxi-Vehicle Share Supporting D'!$I201))+'Taxi-Vehicle Share Supporting D'!M96*($I50/($I50+'Van+Ute'!$I50))+'Taxi-Vehicle Share Supporting D'!M159</f>
        <v>3567.8877905451272</v>
      </c>
      <c r="N132" s="56">
        <f ca="1">$I132*(Taxi_Household_Share*('Taxi-Vehicle Share Supporting D'!N117/'Taxi-Vehicle Share Supporting D'!$I117)+Taxi_Tourist_Share*('Taxi-Vehicle Share Supporting D'!N138/'Taxi-Vehicle Share Supporting D'!$I138)+Taxi_Commercial_Share*('Taxi-Vehicle Share Supporting D'!N201/'Taxi-Vehicle Share Supporting D'!$I201))+'Taxi-Vehicle Share Supporting D'!N96*($I50/($I50+'Van+Ute'!$I50))+'Taxi-Vehicle Share Supporting D'!N159</f>
        <v>4794.3022791278026</v>
      </c>
      <c r="O132" s="159">
        <f ca="1">$I132*(Taxi_Household_Share*('Taxi-Vehicle Share Supporting D'!O117/'Taxi-Vehicle Share Supporting D'!$I117)+Taxi_Tourist_Share*('Taxi-Vehicle Share Supporting D'!O138/'Taxi-Vehicle Share Supporting D'!$I138)+Taxi_Commercial_Share*('Taxi-Vehicle Share Supporting D'!O201/'Taxi-Vehicle Share Supporting D'!$I201))+'Taxi-Vehicle Share Supporting D'!O96*($I50/($I50+'Van+Ute'!$I50))+'Taxi-Vehicle Share Supporting D'!O159</f>
        <v>6079.5301199664236</v>
      </c>
      <c r="P132" s="159">
        <f ca="1">$I132*(Taxi_Household_Share*('Taxi-Vehicle Share Supporting D'!P117/'Taxi-Vehicle Share Supporting D'!$I117)+Taxi_Tourist_Share*('Taxi-Vehicle Share Supporting D'!P138/'Taxi-Vehicle Share Supporting D'!$I138)+Taxi_Commercial_Share*('Taxi-Vehicle Share Supporting D'!P201/'Taxi-Vehicle Share Supporting D'!$I201))+'Taxi-Vehicle Share Supporting D'!P96*($I50/($I50+'Van+Ute'!$I50))+'Taxi-Vehicle Share Supporting D'!P159</f>
        <v>7416.6727405355405</v>
      </c>
      <c r="Q132" s="160">
        <f ca="1">$I132*(Taxi_Household_Share*('Taxi-Vehicle Share Supporting D'!Q117/'Taxi-Vehicle Share Supporting D'!$I117)+Taxi_Tourist_Share*('Taxi-Vehicle Share Supporting D'!Q138/'Taxi-Vehicle Share Supporting D'!$I138)+Taxi_Commercial_Share*('Taxi-Vehicle Share Supporting D'!Q201/'Taxi-Vehicle Share Supporting D'!$I201))+'Taxi-Vehicle Share Supporting D'!Q96*($I50/($I50+'Van+Ute'!$I50))+'Taxi-Vehicle Share Supporting D'!Q159</f>
        <v>8802.9382270900751</v>
      </c>
      <c r="R132" s="56"/>
    </row>
    <row r="133" spans="3:18" ht="15.5" x14ac:dyDescent="0.35">
      <c r="C133" s="24" t="s">
        <v>2</v>
      </c>
      <c r="D133" s="55">
        <f>D9*(('[1]12_13 fleet'!$D259+'[1]12_13 fleet'!$D274)/'Original 2012-13 Data'!$C8)/1000000</f>
        <v>13.024773190456441</v>
      </c>
      <c r="E133" s="56">
        <f>E9*(('[2]13_14 fleet'!$D261+'[2]13_14 fleet'!$D276)/'Original 2013-14 Data'!$C8)/1000000</f>
        <v>12.093344491396108</v>
      </c>
      <c r="F133" s="56">
        <f>F9*(('[3]14_15 fleet'!$D261+'[3]14_15 fleet'!$D276)/'Original 2014-15 Data'!$C8)/1000000</f>
        <v>11.659786885631881</v>
      </c>
      <c r="G133" s="56">
        <f>G9*(('[4]15_16 fleet'!$D261+'[4]15_16 fleet'!$D276)/'Original 2015-16 Data'!$C8)/1000000</f>
        <v>12.602472926258594</v>
      </c>
      <c r="H133" s="56">
        <f>H9*(('[5]16_17 fleet_v2'!$D261+'[5]16_17 fleet_v2'!$D276)/'Original 2016-17 Data'!$C8)/1000000</f>
        <v>14.392572112659755</v>
      </c>
      <c r="I133" s="56">
        <f>I9*(('[6]17_18 fleet_v3'!$D263+'[6]17_18 fleet_v3'!$D278)/'Original 2017-18 Data'!$C8)/1000000</f>
        <v>19.976879039955708</v>
      </c>
      <c r="J133" s="56">
        <f ca="1">$I133*(Taxi_Household_Share*('Taxi-Vehicle Share Supporting D'!J118/'Taxi-Vehicle Share Supporting D'!$I118)+Taxi_Tourist_Share*('Taxi-Vehicle Share Supporting D'!J139/'Taxi-Vehicle Share Supporting D'!$I139)+Taxi_Commercial_Share*('Taxi-Vehicle Share Supporting D'!J202/'Taxi-Vehicle Share Supporting D'!$I202))+'Taxi-Vehicle Share Supporting D'!J97*($I51/($I51+'Van+Ute'!$I51))+'Taxi-Vehicle Share Supporting D'!J160</f>
        <v>23.477833021376949</v>
      </c>
      <c r="K133" s="56">
        <f ca="1">$I133*(Taxi_Household_Share*('Taxi-Vehicle Share Supporting D'!K118/'Taxi-Vehicle Share Supporting D'!$I118)+Taxi_Tourist_Share*('Taxi-Vehicle Share Supporting D'!K139/'Taxi-Vehicle Share Supporting D'!$I139)+Taxi_Commercial_Share*('Taxi-Vehicle Share Supporting D'!K202/'Taxi-Vehicle Share Supporting D'!$I202))+'Taxi-Vehicle Share Supporting D'!K97*($I51/($I51+'Van+Ute'!$I51))+'Taxi-Vehicle Share Supporting D'!K160</f>
        <v>464.72745171562411</v>
      </c>
      <c r="L133" s="56">
        <f ca="1">$I133*(Taxi_Household_Share*('Taxi-Vehicle Share Supporting D'!L118/'Taxi-Vehicle Share Supporting D'!$I118)+Taxi_Tourist_Share*('Taxi-Vehicle Share Supporting D'!L139/'Taxi-Vehicle Share Supporting D'!$I139)+Taxi_Commercial_Share*('Taxi-Vehicle Share Supporting D'!L202/'Taxi-Vehicle Share Supporting D'!$I202))+'Taxi-Vehicle Share Supporting D'!L97*($I51/($I51+'Van+Ute'!$I51))+'Taxi-Vehicle Share Supporting D'!L160</f>
        <v>939.81336560303316</v>
      </c>
      <c r="M133" s="56">
        <f ca="1">$I133*(Taxi_Household_Share*('Taxi-Vehicle Share Supporting D'!M118/'Taxi-Vehicle Share Supporting D'!$I118)+Taxi_Tourist_Share*('Taxi-Vehicle Share Supporting D'!M139/'Taxi-Vehicle Share Supporting D'!$I139)+Taxi_Commercial_Share*('Taxi-Vehicle Share Supporting D'!M202/'Taxi-Vehicle Share Supporting D'!$I202))+'Taxi-Vehicle Share Supporting D'!M97*($I51/($I51+'Van+Ute'!$I51))+'Taxi-Vehicle Share Supporting D'!M160</f>
        <v>1433.0402686085702</v>
      </c>
      <c r="N133" s="56">
        <f ca="1">$I133*(Taxi_Household_Share*('Taxi-Vehicle Share Supporting D'!N118/'Taxi-Vehicle Share Supporting D'!$I118)+Taxi_Tourist_Share*('Taxi-Vehicle Share Supporting D'!N139/'Taxi-Vehicle Share Supporting D'!$I139)+Taxi_Commercial_Share*('Taxi-Vehicle Share Supporting D'!N202/'Taxi-Vehicle Share Supporting D'!$I202))+'Taxi-Vehicle Share Supporting D'!N97*($I51/($I51+'Van+Ute'!$I51))+'Taxi-Vehicle Share Supporting D'!N160</f>
        <v>1940.7946399257487</v>
      </c>
      <c r="O133" s="159">
        <f ca="1">$I133*(Taxi_Household_Share*('Taxi-Vehicle Share Supporting D'!O118/'Taxi-Vehicle Share Supporting D'!$I118)+Taxi_Tourist_Share*('Taxi-Vehicle Share Supporting D'!O139/'Taxi-Vehicle Share Supporting D'!$I139)+Taxi_Commercial_Share*('Taxi-Vehicle Share Supporting D'!O202/'Taxi-Vehicle Share Supporting D'!$I202))+'Taxi-Vehicle Share Supporting D'!O97*($I51/($I51+'Van+Ute'!$I51))+'Taxi-Vehicle Share Supporting D'!O160</f>
        <v>2461.5434353022738</v>
      </c>
      <c r="P133" s="159">
        <f ca="1">$I133*(Taxi_Household_Share*('Taxi-Vehicle Share Supporting D'!P118/'Taxi-Vehicle Share Supporting D'!$I118)+Taxi_Tourist_Share*('Taxi-Vehicle Share Supporting D'!P139/'Taxi-Vehicle Share Supporting D'!$I139)+Taxi_Commercial_Share*('Taxi-Vehicle Share Supporting D'!P202/'Taxi-Vehicle Share Supporting D'!$I202))+'Taxi-Vehicle Share Supporting D'!P97*($I51/($I51+'Van+Ute'!$I51))+'Taxi-Vehicle Share Supporting D'!P160</f>
        <v>2990.4096189773732</v>
      </c>
      <c r="Q133" s="160">
        <f ca="1">$I133*(Taxi_Household_Share*('Taxi-Vehicle Share Supporting D'!Q118/'Taxi-Vehicle Share Supporting D'!$I118)+Taxi_Tourist_Share*('Taxi-Vehicle Share Supporting D'!Q139/'Taxi-Vehicle Share Supporting D'!$I139)+Taxi_Commercial_Share*('Taxi-Vehicle Share Supporting D'!Q202/'Taxi-Vehicle Share Supporting D'!$I202))+'Taxi-Vehicle Share Supporting D'!Q97*($I51/($I51+'Van+Ute'!$I51))+'Taxi-Vehicle Share Supporting D'!Q160</f>
        <v>3526.1994403659628</v>
      </c>
      <c r="R133" s="56"/>
    </row>
    <row r="134" spans="3:18" ht="15.5" x14ac:dyDescent="0.35">
      <c r="C134" s="24" t="s">
        <v>3</v>
      </c>
      <c r="D134" s="55">
        <f>D10*(('[1]12_13 fleet'!$D260+'[1]12_13 fleet'!$D275)/'Original 2012-13 Data'!$C9)/1000000</f>
        <v>7.8534960616182063</v>
      </c>
      <c r="E134" s="56">
        <f>E10*(('[2]13_14 fleet'!$D262+'[2]13_14 fleet'!$D277)/'Original 2013-14 Data'!$C9)/1000000</f>
        <v>7.6193443387215849</v>
      </c>
      <c r="F134" s="56">
        <f>F10*(('[3]14_15 fleet'!$D262+'[3]14_15 fleet'!$D277)/'Original 2014-15 Data'!$C9)/1000000</f>
        <v>7.6111611636259378</v>
      </c>
      <c r="G134" s="56">
        <f>G10*(('[4]15_16 fleet'!$D262+'[4]15_16 fleet'!$D277)/'Original 2015-16 Data'!$C9)/1000000</f>
        <v>7.8517701774184525</v>
      </c>
      <c r="H134" s="56">
        <f>H10*(('[5]16_17 fleet_v2'!$D262+'[5]16_17 fleet_v2'!$D277)/'Original 2016-17 Data'!$C9)/1000000</f>
        <v>9.7032753273639667</v>
      </c>
      <c r="I134" s="56">
        <f>I10*(('[6]17_18 fleet_v3'!$D264+'[6]17_18 fleet_v3'!$D279)/'Original 2017-18 Data'!$C9)/1000000</f>
        <v>12.413152805195006</v>
      </c>
      <c r="J134" s="56">
        <f ca="1">$I134*(Taxi_Household_Share*('Taxi-Vehicle Share Supporting D'!J119/'Taxi-Vehicle Share Supporting D'!$I119)+Taxi_Tourist_Share*('Taxi-Vehicle Share Supporting D'!J140/'Taxi-Vehicle Share Supporting D'!$I140)+Taxi_Commercial_Share*('Taxi-Vehicle Share Supporting D'!J203/'Taxi-Vehicle Share Supporting D'!$I203))+'Taxi-Vehicle Share Supporting D'!J98*($I52/($I52+'Van+Ute'!$I52))+'Taxi-Vehicle Share Supporting D'!J161</f>
        <v>14.519848962562358</v>
      </c>
      <c r="K134" s="56">
        <f ca="1">$I134*(Taxi_Household_Share*('Taxi-Vehicle Share Supporting D'!K119/'Taxi-Vehicle Share Supporting D'!$I119)+Taxi_Tourist_Share*('Taxi-Vehicle Share Supporting D'!K140/'Taxi-Vehicle Share Supporting D'!$I140)+Taxi_Commercial_Share*('Taxi-Vehicle Share Supporting D'!K203/'Taxi-Vehicle Share Supporting D'!$I203))+'Taxi-Vehicle Share Supporting D'!K98*($I52/($I52+'Van+Ute'!$I52))+'Taxi-Vehicle Share Supporting D'!K161</f>
        <v>233.49561502104547</v>
      </c>
      <c r="L134" s="56">
        <f ca="1">$I134*(Taxi_Household_Share*('Taxi-Vehicle Share Supporting D'!L119/'Taxi-Vehicle Share Supporting D'!$I119)+Taxi_Tourist_Share*('Taxi-Vehicle Share Supporting D'!L140/'Taxi-Vehicle Share Supporting D'!$I140)+Taxi_Commercial_Share*('Taxi-Vehicle Share Supporting D'!L203/'Taxi-Vehicle Share Supporting D'!$I203))+'Taxi-Vehicle Share Supporting D'!L98*($I52/($I52+'Van+Ute'!$I52))+'Taxi-Vehicle Share Supporting D'!L161</f>
        <v>465.97314395177693</v>
      </c>
      <c r="M134" s="56">
        <f ca="1">$I134*(Taxi_Household_Share*('Taxi-Vehicle Share Supporting D'!M119/'Taxi-Vehicle Share Supporting D'!$I119)+Taxi_Tourist_Share*('Taxi-Vehicle Share Supporting D'!M140/'Taxi-Vehicle Share Supporting D'!$I140)+Taxi_Commercial_Share*('Taxi-Vehicle Share Supporting D'!M203/'Taxi-Vehicle Share Supporting D'!$I203))+'Taxi-Vehicle Share Supporting D'!M98*($I52/($I52+'Van+Ute'!$I52))+'Taxi-Vehicle Share Supporting D'!M161</f>
        <v>703.81011444562114</v>
      </c>
      <c r="N134" s="56">
        <f ca="1">$I134*(Taxi_Household_Share*('Taxi-Vehicle Share Supporting D'!N119/'Taxi-Vehicle Share Supporting D'!$I119)+Taxi_Tourist_Share*('Taxi-Vehicle Share Supporting D'!N140/'Taxi-Vehicle Share Supporting D'!$I140)+Taxi_Commercial_Share*('Taxi-Vehicle Share Supporting D'!N203/'Taxi-Vehicle Share Supporting D'!$I203))+'Taxi-Vehicle Share Supporting D'!N98*($I52/($I52+'Van+Ute'!$I52))+'Taxi-Vehicle Share Supporting D'!N161</f>
        <v>945.34179395600836</v>
      </c>
      <c r="O134" s="159">
        <f ca="1">$I134*(Taxi_Household_Share*('Taxi-Vehicle Share Supporting D'!O119/'Taxi-Vehicle Share Supporting D'!$I119)+Taxi_Tourist_Share*('Taxi-Vehicle Share Supporting D'!O140/'Taxi-Vehicle Share Supporting D'!$I140)+Taxi_Commercial_Share*('Taxi-Vehicle Share Supporting D'!O203/'Taxi-Vehicle Share Supporting D'!$I203))+'Taxi-Vehicle Share Supporting D'!O98*($I52/($I52+'Van+Ute'!$I52))+'Taxi-Vehicle Share Supporting D'!O161</f>
        <v>1189.4329319158142</v>
      </c>
      <c r="P134" s="159">
        <f ca="1">$I134*(Taxi_Household_Share*('Taxi-Vehicle Share Supporting D'!P119/'Taxi-Vehicle Share Supporting D'!$I119)+Taxi_Tourist_Share*('Taxi-Vehicle Share Supporting D'!P140/'Taxi-Vehicle Share Supporting D'!$I140)+Taxi_Commercial_Share*('Taxi-Vehicle Share Supporting D'!P203/'Taxi-Vehicle Share Supporting D'!$I203))+'Taxi-Vehicle Share Supporting D'!P98*($I52/($I52+'Van+Ute'!$I52))+'Taxi-Vehicle Share Supporting D'!P161</f>
        <v>1433.7389504837436</v>
      </c>
      <c r="Q134" s="160">
        <f ca="1">$I134*(Taxi_Household_Share*('Taxi-Vehicle Share Supporting D'!Q119/'Taxi-Vehicle Share Supporting D'!$I119)+Taxi_Tourist_Share*('Taxi-Vehicle Share Supporting D'!Q140/'Taxi-Vehicle Share Supporting D'!$I140)+Taxi_Commercial_Share*('Taxi-Vehicle Share Supporting D'!Q203/'Taxi-Vehicle Share Supporting D'!$I203))+'Taxi-Vehicle Share Supporting D'!Q98*($I52/($I52+'Van+Ute'!$I52))+'Taxi-Vehicle Share Supporting D'!Q161</f>
        <v>1677.6165412365106</v>
      </c>
      <c r="R134" s="56"/>
    </row>
    <row r="135" spans="3:18" ht="15.5" x14ac:dyDescent="0.35">
      <c r="C135" s="24" t="s">
        <v>4</v>
      </c>
      <c r="D135" s="55">
        <f>D11*(('[1]12_13 fleet'!$D261+'[1]12_13 fleet'!$D276)/'Original 2012-13 Data'!$C10)/1000000</f>
        <v>1.0386914659164255</v>
      </c>
      <c r="E135" s="56">
        <f>E11*(('[2]13_14 fleet'!$D263+'[2]13_14 fleet'!$D278)/'Original 2013-14 Data'!$C10)/1000000</f>
        <v>1.0940104564315674</v>
      </c>
      <c r="F135" s="56">
        <f>F11*(('[3]14_15 fleet'!$D263+'[3]14_15 fleet'!$D278)/'Original 2014-15 Data'!$C10)/1000000</f>
        <v>1.058447387962798</v>
      </c>
      <c r="G135" s="56">
        <f>G11*(('[4]15_16 fleet'!$D263+'[4]15_16 fleet'!$D278)/'Original 2015-16 Data'!$C10)/1000000</f>
        <v>1.0888881139198701</v>
      </c>
      <c r="H135" s="56">
        <f>H11*(('[5]16_17 fleet_v2'!$D263+'[5]16_17 fleet_v2'!$D278)/'Original 2016-17 Data'!$C10)/1000000</f>
        <v>1.0421925887306627</v>
      </c>
      <c r="I135" s="56">
        <f>I11*(('[6]17_18 fleet_v3'!$D265+'[6]17_18 fleet_v3'!$D280)/'Original 2017-18 Data'!$C10)/1000000</f>
        <v>1.1479099102952752</v>
      </c>
      <c r="J135" s="56">
        <f ca="1">$I135*(Taxi_Household_Share*('Taxi-Vehicle Share Supporting D'!J120/'Taxi-Vehicle Share Supporting D'!$I120)+Taxi_Tourist_Share*('Taxi-Vehicle Share Supporting D'!J141/'Taxi-Vehicle Share Supporting D'!$I141)+Taxi_Commercial_Share*('Taxi-Vehicle Share Supporting D'!J204/'Taxi-Vehicle Share Supporting D'!$I204))+'Taxi-Vehicle Share Supporting D'!J99*($I53/($I53+'Van+Ute'!$I53))+'Taxi-Vehicle Share Supporting D'!J162</f>
        <v>1.3206565438780566</v>
      </c>
      <c r="K135" s="56">
        <f ca="1">$I135*(Taxi_Household_Share*('Taxi-Vehicle Share Supporting D'!K120/'Taxi-Vehicle Share Supporting D'!$I120)+Taxi_Tourist_Share*('Taxi-Vehicle Share Supporting D'!K141/'Taxi-Vehicle Share Supporting D'!$I141)+Taxi_Commercial_Share*('Taxi-Vehicle Share Supporting D'!K204/'Taxi-Vehicle Share Supporting D'!$I204))+'Taxi-Vehicle Share Supporting D'!K99*($I53/($I53+'Van+Ute'!$I53))+'Taxi-Vehicle Share Supporting D'!K162</f>
        <v>25.168729635982292</v>
      </c>
      <c r="L135" s="56">
        <f ca="1">$I135*(Taxi_Household_Share*('Taxi-Vehicle Share Supporting D'!L120/'Taxi-Vehicle Share Supporting D'!$I120)+Taxi_Tourist_Share*('Taxi-Vehicle Share Supporting D'!L141/'Taxi-Vehicle Share Supporting D'!$I141)+Taxi_Commercial_Share*('Taxi-Vehicle Share Supporting D'!L204/'Taxi-Vehicle Share Supporting D'!$I204))+'Taxi-Vehicle Share Supporting D'!L99*($I53/($I53+'Van+Ute'!$I53))+'Taxi-Vehicle Share Supporting D'!L162</f>
        <v>49.547915209512873</v>
      </c>
      <c r="M135" s="56">
        <f ca="1">$I135*(Taxi_Household_Share*('Taxi-Vehicle Share Supporting D'!M120/'Taxi-Vehicle Share Supporting D'!$I120)+Taxi_Tourist_Share*('Taxi-Vehicle Share Supporting D'!M141/'Taxi-Vehicle Share Supporting D'!$I141)+Taxi_Commercial_Share*('Taxi-Vehicle Share Supporting D'!M204/'Taxi-Vehicle Share Supporting D'!$I204))+'Taxi-Vehicle Share Supporting D'!M99*($I53/($I53+'Van+Ute'!$I53))+'Taxi-Vehicle Share Supporting D'!M162</f>
        <v>73.49117018243696</v>
      </c>
      <c r="N135" s="56">
        <f ca="1">$I135*(Taxi_Household_Share*('Taxi-Vehicle Share Supporting D'!N120/'Taxi-Vehicle Share Supporting D'!$I120)+Taxi_Tourist_Share*('Taxi-Vehicle Share Supporting D'!N141/'Taxi-Vehicle Share Supporting D'!$I141)+Taxi_Commercial_Share*('Taxi-Vehicle Share Supporting D'!N204/'Taxi-Vehicle Share Supporting D'!$I204))+'Taxi-Vehicle Share Supporting D'!N99*($I53/($I53+'Van+Ute'!$I53))+'Taxi-Vehicle Share Supporting D'!N162</f>
        <v>96.906368303143509</v>
      </c>
      <c r="O135" s="159">
        <f ca="1">$I135*(Taxi_Household_Share*('Taxi-Vehicle Share Supporting D'!O120/'Taxi-Vehicle Share Supporting D'!$I120)+Taxi_Tourist_Share*('Taxi-Vehicle Share Supporting D'!O141/'Taxi-Vehicle Share Supporting D'!$I141)+Taxi_Commercial_Share*('Taxi-Vehicle Share Supporting D'!O204/'Taxi-Vehicle Share Supporting D'!$I204))+'Taxi-Vehicle Share Supporting D'!O99*($I53/($I53+'Van+Ute'!$I53))+'Taxi-Vehicle Share Supporting D'!O162</f>
        <v>119.75681626904269</v>
      </c>
      <c r="P135" s="159">
        <f ca="1">$I135*(Taxi_Household_Share*('Taxi-Vehicle Share Supporting D'!P120/'Taxi-Vehicle Share Supporting D'!$I120)+Taxi_Tourist_Share*('Taxi-Vehicle Share Supporting D'!P141/'Taxi-Vehicle Share Supporting D'!$I141)+Taxi_Commercial_Share*('Taxi-Vehicle Share Supporting D'!P204/'Taxi-Vehicle Share Supporting D'!$I204))+'Taxi-Vehicle Share Supporting D'!P99*($I53/($I53+'Van+Ute'!$I53))+'Taxi-Vehicle Share Supporting D'!P162</f>
        <v>141.77335714741099</v>
      </c>
      <c r="Q135" s="160">
        <f ca="1">$I135*(Taxi_Household_Share*('Taxi-Vehicle Share Supporting D'!Q120/'Taxi-Vehicle Share Supporting D'!$I120)+Taxi_Tourist_Share*('Taxi-Vehicle Share Supporting D'!Q141/'Taxi-Vehicle Share Supporting D'!$I141)+Taxi_Commercial_Share*('Taxi-Vehicle Share Supporting D'!Q204/'Taxi-Vehicle Share Supporting D'!$I204))+'Taxi-Vehicle Share Supporting D'!Q99*($I53/($I53+'Van+Ute'!$I53))+'Taxi-Vehicle Share Supporting D'!Q162</f>
        <v>162.92682555402646</v>
      </c>
      <c r="R135" s="56"/>
    </row>
    <row r="136" spans="3:18" ht="15.5" x14ac:dyDescent="0.35">
      <c r="C136" s="24" t="s">
        <v>5</v>
      </c>
      <c r="D136" s="55">
        <f>D12*(('[1]12_13 fleet'!$D262+'[1]12_13 fleet'!$D277)/'Original 2012-13 Data'!$C11)/1000000</f>
        <v>4.9682297678799188</v>
      </c>
      <c r="E136" s="56">
        <f>E12*(('[2]13_14 fleet'!$D264+'[2]13_14 fleet'!$D279)/'Original 2013-14 Data'!$C11)/1000000</f>
        <v>4.8118020460864983</v>
      </c>
      <c r="F136" s="56">
        <f>F12*(('[3]14_15 fleet'!$D264+'[3]14_15 fleet'!$D279)/'Original 2014-15 Data'!$C11)/1000000</f>
        <v>5.1180066908698345</v>
      </c>
      <c r="G136" s="56">
        <f>G12*(('[4]15_16 fleet'!$D264+'[4]15_16 fleet'!$D279)/'Original 2015-16 Data'!$C11)/1000000</f>
        <v>5.5925669427783271</v>
      </c>
      <c r="H136" s="56">
        <f>H12*(('[5]16_17 fleet_v2'!$D264+'[5]16_17 fleet_v2'!$D279)/'Original 2016-17 Data'!$C11)/1000000</f>
        <v>6.600006505389028</v>
      </c>
      <c r="I136" s="56">
        <f>I12*(('[6]17_18 fleet_v3'!$D266+'[6]17_18 fleet_v3'!$D281)/'Original 2017-18 Data'!$C11)/1000000</f>
        <v>7.2553416516065052</v>
      </c>
      <c r="J136" s="56">
        <f ca="1">$I136*(Taxi_Household_Share*('Taxi-Vehicle Share Supporting D'!J121/'Taxi-Vehicle Share Supporting D'!$I121)+Taxi_Tourist_Share*('Taxi-Vehicle Share Supporting D'!J142/'Taxi-Vehicle Share Supporting D'!$I142)+Taxi_Commercial_Share*('Taxi-Vehicle Share Supporting D'!J205/'Taxi-Vehicle Share Supporting D'!$I205))+'Taxi-Vehicle Share Supporting D'!J100*($I54/($I54+'Van+Ute'!$I54))+'Taxi-Vehicle Share Supporting D'!J163</f>
        <v>8.4784903144674413</v>
      </c>
      <c r="K136" s="56">
        <f ca="1">$I136*(Taxi_Household_Share*('Taxi-Vehicle Share Supporting D'!K121/'Taxi-Vehicle Share Supporting D'!$I121)+Taxi_Tourist_Share*('Taxi-Vehicle Share Supporting D'!K142/'Taxi-Vehicle Share Supporting D'!$I142)+Taxi_Commercial_Share*('Taxi-Vehicle Share Supporting D'!K205/'Taxi-Vehicle Share Supporting D'!$I205))+'Taxi-Vehicle Share Supporting D'!K100*($I54/($I54+'Van+Ute'!$I54))+'Taxi-Vehicle Share Supporting D'!K163</f>
        <v>120.43852773591577</v>
      </c>
      <c r="L136" s="56">
        <f ca="1">$I136*(Taxi_Household_Share*('Taxi-Vehicle Share Supporting D'!L121/'Taxi-Vehicle Share Supporting D'!$I121)+Taxi_Tourist_Share*('Taxi-Vehicle Share Supporting D'!L142/'Taxi-Vehicle Share Supporting D'!$I142)+Taxi_Commercial_Share*('Taxi-Vehicle Share Supporting D'!L205/'Taxi-Vehicle Share Supporting D'!$I205))+'Taxi-Vehicle Share Supporting D'!L100*($I54/($I54+'Van+Ute'!$I54))+'Taxi-Vehicle Share Supporting D'!L163</f>
        <v>239.31641318596419</v>
      </c>
      <c r="M136" s="56">
        <f ca="1">$I136*(Taxi_Household_Share*('Taxi-Vehicle Share Supporting D'!M121/'Taxi-Vehicle Share Supporting D'!$I121)+Taxi_Tourist_Share*('Taxi-Vehicle Share Supporting D'!M142/'Taxi-Vehicle Share Supporting D'!$I142)+Taxi_Commercial_Share*('Taxi-Vehicle Share Supporting D'!M205/'Taxi-Vehicle Share Supporting D'!$I205))+'Taxi-Vehicle Share Supporting D'!M100*($I54/($I54+'Van+Ute'!$I54))+'Taxi-Vehicle Share Supporting D'!M163</f>
        <v>361.28393363559258</v>
      </c>
      <c r="N136" s="56">
        <f ca="1">$I136*(Taxi_Household_Share*('Taxi-Vehicle Share Supporting D'!N121/'Taxi-Vehicle Share Supporting D'!$I121)+Taxi_Tourist_Share*('Taxi-Vehicle Share Supporting D'!N142/'Taxi-Vehicle Share Supporting D'!$I142)+Taxi_Commercial_Share*('Taxi-Vehicle Share Supporting D'!N205/'Taxi-Vehicle Share Supporting D'!$I205))+'Taxi-Vehicle Share Supporting D'!N100*($I54/($I54+'Van+Ute'!$I54))+'Taxi-Vehicle Share Supporting D'!N163</f>
        <v>485.92270401196959</v>
      </c>
      <c r="O136" s="159">
        <f ca="1">$I136*(Taxi_Household_Share*('Taxi-Vehicle Share Supporting D'!O121/'Taxi-Vehicle Share Supporting D'!$I121)+Taxi_Tourist_Share*('Taxi-Vehicle Share Supporting D'!O142/'Taxi-Vehicle Share Supporting D'!$I142)+Taxi_Commercial_Share*('Taxi-Vehicle Share Supporting D'!O205/'Taxi-Vehicle Share Supporting D'!$I205))+'Taxi-Vehicle Share Supporting D'!O100*($I54/($I54+'Van+Ute'!$I54))+'Taxi-Vehicle Share Supporting D'!O163</f>
        <v>613.0320952710681</v>
      </c>
      <c r="P136" s="159">
        <f ca="1">$I136*(Taxi_Household_Share*('Taxi-Vehicle Share Supporting D'!P121/'Taxi-Vehicle Share Supporting D'!$I121)+Taxi_Tourist_Share*('Taxi-Vehicle Share Supporting D'!P142/'Taxi-Vehicle Share Supporting D'!$I142)+Taxi_Commercial_Share*('Taxi-Vehicle Share Supporting D'!P205/'Taxi-Vehicle Share Supporting D'!$I205))+'Taxi-Vehicle Share Supporting D'!P100*($I54/($I54+'Van+Ute'!$I54))+'Taxi-Vehicle Share Supporting D'!P163</f>
        <v>741.60874232855167</v>
      </c>
      <c r="Q136" s="160">
        <f ca="1">$I136*(Taxi_Household_Share*('Taxi-Vehicle Share Supporting D'!Q121/'Taxi-Vehicle Share Supporting D'!$I121)+Taxi_Tourist_Share*('Taxi-Vehicle Share Supporting D'!Q142/'Taxi-Vehicle Share Supporting D'!$I142)+Taxi_Commercial_Share*('Taxi-Vehicle Share Supporting D'!Q205/'Taxi-Vehicle Share Supporting D'!$I205))+'Taxi-Vehicle Share Supporting D'!Q100*($I54/($I54+'Van+Ute'!$I54))+'Taxi-Vehicle Share Supporting D'!Q163</f>
        <v>871.61989841067657</v>
      </c>
      <c r="R136" s="56"/>
    </row>
    <row r="137" spans="3:18" ht="15.5" x14ac:dyDescent="0.35">
      <c r="C137" s="24" t="s">
        <v>6</v>
      </c>
      <c r="D137" s="55">
        <f>D13*(('[1]12_13 fleet'!$D263+'[1]12_13 fleet'!$D278)/'Original 2012-13 Data'!$C12)/1000000</f>
        <v>2.9741262112277385</v>
      </c>
      <c r="E137" s="56">
        <f>E13*(('[2]13_14 fleet'!$D265+'[2]13_14 fleet'!$D280)/'Original 2013-14 Data'!$C12)/1000000</f>
        <v>3.21142605893656</v>
      </c>
      <c r="F137" s="56">
        <f>F13*(('[3]14_15 fleet'!$D265+'[3]14_15 fleet'!$D280)/'Original 2014-15 Data'!$C12)/1000000</f>
        <v>3.0398365671850045</v>
      </c>
      <c r="G137" s="56">
        <f>G13*(('[4]15_16 fleet'!$D265+'[4]15_16 fleet'!$D280)/'Original 2015-16 Data'!$C12)/1000000</f>
        <v>3.1589092859591887</v>
      </c>
      <c r="H137" s="56">
        <f>H13*(('[5]16_17 fleet_v2'!$D265+'[5]16_17 fleet_v2'!$D280)/'Original 2016-17 Data'!$C12)/1000000</f>
        <v>3.5220969826324331</v>
      </c>
      <c r="I137" s="56">
        <f>I13*(('[6]17_18 fleet_v3'!$D267+'[6]17_18 fleet_v3'!$D282)/'Original 2017-18 Data'!$C12)/1000000</f>
        <v>3.6283538683887078</v>
      </c>
      <c r="J137" s="56">
        <f ca="1">$I137*(Taxi_Household_Share*('Taxi-Vehicle Share Supporting D'!J122/'Taxi-Vehicle Share Supporting D'!$I122)+Taxi_Tourist_Share*('Taxi-Vehicle Share Supporting D'!J143/'Taxi-Vehicle Share Supporting D'!$I143)+Taxi_Commercial_Share*('Taxi-Vehicle Share Supporting D'!J206/'Taxi-Vehicle Share Supporting D'!$I206))+'Taxi-Vehicle Share Supporting D'!J101*($I55/($I55+'Van+Ute'!$I55))+'Taxi-Vehicle Share Supporting D'!J164</f>
        <v>4.2666015761968321</v>
      </c>
      <c r="K137" s="56">
        <f ca="1">$I137*(Taxi_Household_Share*('Taxi-Vehicle Share Supporting D'!K122/'Taxi-Vehicle Share Supporting D'!$I122)+Taxi_Tourist_Share*('Taxi-Vehicle Share Supporting D'!K143/'Taxi-Vehicle Share Supporting D'!$I143)+Taxi_Commercial_Share*('Taxi-Vehicle Share Supporting D'!K206/'Taxi-Vehicle Share Supporting D'!$I206))+'Taxi-Vehicle Share Supporting D'!K101*($I55/($I55+'Van+Ute'!$I55))+'Taxi-Vehicle Share Supporting D'!K164</f>
        <v>87.129007046604087</v>
      </c>
      <c r="L137" s="56">
        <f ca="1">$I137*(Taxi_Household_Share*('Taxi-Vehicle Share Supporting D'!L122/'Taxi-Vehicle Share Supporting D'!$I122)+Taxi_Tourist_Share*('Taxi-Vehicle Share Supporting D'!L143/'Taxi-Vehicle Share Supporting D'!$I143)+Taxi_Commercial_Share*('Taxi-Vehicle Share Supporting D'!L206/'Taxi-Vehicle Share Supporting D'!$I206))+'Taxi-Vehicle Share Supporting D'!L101*($I55/($I55+'Van+Ute'!$I55))+'Taxi-Vehicle Share Supporting D'!L164</f>
        <v>176.59303683086608</v>
      </c>
      <c r="M137" s="56">
        <f ca="1">$I137*(Taxi_Household_Share*('Taxi-Vehicle Share Supporting D'!M122/'Taxi-Vehicle Share Supporting D'!$I122)+Taxi_Tourist_Share*('Taxi-Vehicle Share Supporting D'!M143/'Taxi-Vehicle Share Supporting D'!$I143)+Taxi_Commercial_Share*('Taxi-Vehicle Share Supporting D'!M206/'Taxi-Vehicle Share Supporting D'!$I206))+'Taxi-Vehicle Share Supporting D'!M101*($I55/($I55+'Van+Ute'!$I55))+'Taxi-Vehicle Share Supporting D'!M164</f>
        <v>270.01088159902537</v>
      </c>
      <c r="N137" s="56">
        <f ca="1">$I137*(Taxi_Household_Share*('Taxi-Vehicle Share Supporting D'!N122/'Taxi-Vehicle Share Supporting D'!$I122)+Taxi_Tourist_Share*('Taxi-Vehicle Share Supporting D'!N143/'Taxi-Vehicle Share Supporting D'!$I143)+Taxi_Commercial_Share*('Taxi-Vehicle Share Supporting D'!N206/'Taxi-Vehicle Share Supporting D'!$I206))+'Taxi-Vehicle Share Supporting D'!N101*($I55/($I55+'Van+Ute'!$I55))+'Taxi-Vehicle Share Supporting D'!N164</f>
        <v>367.05443035019994</v>
      </c>
      <c r="O137" s="159">
        <f ca="1">$I137*(Taxi_Household_Share*('Taxi-Vehicle Share Supporting D'!O122/'Taxi-Vehicle Share Supporting D'!$I122)+Taxi_Tourist_Share*('Taxi-Vehicle Share Supporting D'!O143/'Taxi-Vehicle Share Supporting D'!$I143)+Taxi_Commercial_Share*('Taxi-Vehicle Share Supporting D'!O206/'Taxi-Vehicle Share Supporting D'!$I206))+'Taxi-Vehicle Share Supporting D'!O101*($I55/($I55+'Van+Ute'!$I55))+'Taxi-Vehicle Share Supporting D'!O164</f>
        <v>467.50585459069885</v>
      </c>
      <c r="P137" s="159">
        <f ca="1">$I137*(Taxi_Household_Share*('Taxi-Vehicle Share Supporting D'!P122/'Taxi-Vehicle Share Supporting D'!$I122)+Taxi_Tourist_Share*('Taxi-Vehicle Share Supporting D'!P143/'Taxi-Vehicle Share Supporting D'!$I143)+Taxi_Commercial_Share*('Taxi-Vehicle Share Supporting D'!P206/'Taxi-Vehicle Share Supporting D'!$I206))+'Taxi-Vehicle Share Supporting D'!P101*($I55/($I55+'Van+Ute'!$I55))+'Taxi-Vehicle Share Supporting D'!P164</f>
        <v>570.61602794219812</v>
      </c>
      <c r="Q137" s="160">
        <f ca="1">$I137*(Taxi_Household_Share*('Taxi-Vehicle Share Supporting D'!Q122/'Taxi-Vehicle Share Supporting D'!$I122)+Taxi_Tourist_Share*('Taxi-Vehicle Share Supporting D'!Q143/'Taxi-Vehicle Share Supporting D'!$I143)+Taxi_Commercial_Share*('Taxi-Vehicle Share Supporting D'!Q206/'Taxi-Vehicle Share Supporting D'!$I206))+'Taxi-Vehicle Share Supporting D'!Q101*($I55/($I55+'Van+Ute'!$I55))+'Taxi-Vehicle Share Supporting D'!Q164</f>
        <v>676.34014284901968</v>
      </c>
      <c r="R137" s="56"/>
    </row>
    <row r="138" spans="3:18" ht="15.5" x14ac:dyDescent="0.35">
      <c r="C138" s="24" t="s">
        <v>7</v>
      </c>
      <c r="D138" s="55">
        <f>D14*(('[1]12_13 fleet'!$D264+'[1]12_13 fleet'!$D279)/'Original 2012-13 Data'!$C13)/1000000</f>
        <v>5.7204030860473782</v>
      </c>
      <c r="E138" s="56">
        <f>E14*(('[2]13_14 fleet'!$D266+'[2]13_14 fleet'!$D281)/'Original 2013-14 Data'!$C13)/1000000</f>
        <v>5.3954913312601098</v>
      </c>
      <c r="F138" s="56">
        <f>F14*(('[3]14_15 fleet'!$D266+'[3]14_15 fleet'!$D281)/'Original 2014-15 Data'!$C13)/1000000</f>
        <v>5.1963250401497838</v>
      </c>
      <c r="G138" s="56">
        <f>G14*(('[4]15_16 fleet'!$D266+'[4]15_16 fleet'!$D281)/'Original 2015-16 Data'!$C13)/1000000</f>
        <v>5.4761196976938251</v>
      </c>
      <c r="H138" s="56">
        <f>H14*(('[5]16_17 fleet_v2'!$D266+'[5]16_17 fleet_v2'!$D281)/'Original 2016-17 Data'!$C13)/1000000</f>
        <v>6.3621550769599597</v>
      </c>
      <c r="I138" s="56">
        <f>I14*(('[6]17_18 fleet_v3'!$D268+'[6]17_18 fleet_v3'!$D283)/'Original 2017-18 Data'!$C13)/1000000</f>
        <v>7.1050532488696954</v>
      </c>
      <c r="J138" s="56">
        <f ca="1">$I138*(Taxi_Household_Share*('Taxi-Vehicle Share Supporting D'!J123/'Taxi-Vehicle Share Supporting D'!$I123)+Taxi_Tourist_Share*('Taxi-Vehicle Share Supporting D'!J144/'Taxi-Vehicle Share Supporting D'!$I144)+Taxi_Commercial_Share*('Taxi-Vehicle Share Supporting D'!J207/'Taxi-Vehicle Share Supporting D'!$I207))+'Taxi-Vehicle Share Supporting D'!J102*($I56/($I56+'Van+Ute'!$I56))+'Taxi-Vehicle Share Supporting D'!J165</f>
        <v>8.2289705514736955</v>
      </c>
      <c r="K138" s="56">
        <f ca="1">$I138*(Taxi_Household_Share*('Taxi-Vehicle Share Supporting D'!K123/'Taxi-Vehicle Share Supporting D'!$I123)+Taxi_Tourist_Share*('Taxi-Vehicle Share Supporting D'!K144/'Taxi-Vehicle Share Supporting D'!$I144)+Taxi_Commercial_Share*('Taxi-Vehicle Share Supporting D'!K207/'Taxi-Vehicle Share Supporting D'!$I207))+'Taxi-Vehicle Share Supporting D'!K102*($I56/($I56+'Van+Ute'!$I56))+'Taxi-Vehicle Share Supporting D'!K165</f>
        <v>180.25723267711942</v>
      </c>
      <c r="L138" s="56">
        <f ca="1">$I138*(Taxi_Household_Share*('Taxi-Vehicle Share Supporting D'!L123/'Taxi-Vehicle Share Supporting D'!$I123)+Taxi_Tourist_Share*('Taxi-Vehicle Share Supporting D'!L144/'Taxi-Vehicle Share Supporting D'!$I144)+Taxi_Commercial_Share*('Taxi-Vehicle Share Supporting D'!L207/'Taxi-Vehicle Share Supporting D'!$I207))+'Taxi-Vehicle Share Supporting D'!L102*($I56/($I56+'Van+Ute'!$I56))+'Taxi-Vehicle Share Supporting D'!L165</f>
        <v>359.45263929667078</v>
      </c>
      <c r="M138" s="56">
        <f ca="1">$I138*(Taxi_Household_Share*('Taxi-Vehicle Share Supporting D'!M123/'Taxi-Vehicle Share Supporting D'!$I123)+Taxi_Tourist_Share*('Taxi-Vehicle Share Supporting D'!M144/'Taxi-Vehicle Share Supporting D'!$I144)+Taxi_Commercial_Share*('Taxi-Vehicle Share Supporting D'!M207/'Taxi-Vehicle Share Supporting D'!$I207))+'Taxi-Vehicle Share Supporting D'!M102*($I56/($I56+'Van+Ute'!$I56))+'Taxi-Vehicle Share Supporting D'!M165</f>
        <v>539.70408264226819</v>
      </c>
      <c r="N138" s="56">
        <f ca="1">$I138*(Taxi_Household_Share*('Taxi-Vehicle Share Supporting D'!N123/'Taxi-Vehicle Share Supporting D'!$I123)+Taxi_Tourist_Share*('Taxi-Vehicle Share Supporting D'!N144/'Taxi-Vehicle Share Supporting D'!$I144)+Taxi_Commercial_Share*('Taxi-Vehicle Share Supporting D'!N207/'Taxi-Vehicle Share Supporting D'!$I207))+'Taxi-Vehicle Share Supporting D'!N102*($I56/($I56+'Van+Ute'!$I56))+'Taxi-Vehicle Share Supporting D'!N165</f>
        <v>719.38948535844679</v>
      </c>
      <c r="O138" s="159">
        <f ca="1">$I138*(Taxi_Household_Share*('Taxi-Vehicle Share Supporting D'!O123/'Taxi-Vehicle Share Supporting D'!$I123)+Taxi_Tourist_Share*('Taxi-Vehicle Share Supporting D'!O144/'Taxi-Vehicle Share Supporting D'!$I144)+Taxi_Commercial_Share*('Taxi-Vehicle Share Supporting D'!O207/'Taxi-Vehicle Share Supporting D'!$I207))+'Taxi-Vehicle Share Supporting D'!O102*($I56/($I56+'Van+Ute'!$I56))+'Taxi-Vehicle Share Supporting D'!O165</f>
        <v>898.6950945844992</v>
      </c>
      <c r="P138" s="159">
        <f ca="1">$I138*(Taxi_Household_Share*('Taxi-Vehicle Share Supporting D'!P123/'Taxi-Vehicle Share Supporting D'!$I123)+Taxi_Tourist_Share*('Taxi-Vehicle Share Supporting D'!P144/'Taxi-Vehicle Share Supporting D'!$I144)+Taxi_Commercial_Share*('Taxi-Vehicle Share Supporting D'!P207/'Taxi-Vehicle Share Supporting D'!$I207))+'Taxi-Vehicle Share Supporting D'!P102*($I56/($I56+'Van+Ute'!$I56))+'Taxi-Vehicle Share Supporting D'!P165</f>
        <v>1075.9302518706536</v>
      </c>
      <c r="Q138" s="160">
        <f ca="1">$I138*(Taxi_Household_Share*('Taxi-Vehicle Share Supporting D'!Q123/'Taxi-Vehicle Share Supporting D'!$I123)+Taxi_Tourist_Share*('Taxi-Vehicle Share Supporting D'!Q144/'Taxi-Vehicle Share Supporting D'!$I144)+Taxi_Commercial_Share*('Taxi-Vehicle Share Supporting D'!Q207/'Taxi-Vehicle Share Supporting D'!$I207))+'Taxi-Vehicle Share Supporting D'!Q102*($I56/($I56+'Van+Ute'!$I56))+'Taxi-Vehicle Share Supporting D'!Q165</f>
        <v>1251.0327952314874</v>
      </c>
      <c r="R138" s="56"/>
    </row>
    <row r="139" spans="3:18" ht="15.5" x14ac:dyDescent="0.35">
      <c r="C139" s="24" t="s">
        <v>8</v>
      </c>
      <c r="D139" s="55">
        <f>D15*(('[1]12_13 fleet'!$D265+'[1]12_13 fleet'!$D280)/'Original 2012-13 Data'!$C14)/1000000</f>
        <v>46.73105519553264</v>
      </c>
      <c r="E139" s="56">
        <f>E15*(('[2]13_14 fleet'!$D267+'[2]13_14 fleet'!$D282)/'Original 2013-14 Data'!$C14)/1000000</f>
        <v>47.695912235624945</v>
      </c>
      <c r="F139" s="56">
        <f>F15*(('[3]14_15 fleet'!$D267+'[3]14_15 fleet'!$D282)/'Original 2014-15 Data'!$C14)/1000000</f>
        <v>50.031835643936702</v>
      </c>
      <c r="G139" s="56">
        <f>G15*(('[4]15_16 fleet'!$D267+'[4]15_16 fleet'!$D282)/'Original 2015-16 Data'!$C14)/1000000</f>
        <v>50.754784031948986</v>
      </c>
      <c r="H139" s="56">
        <f>H15*(('[5]16_17 fleet_v2'!$D267+'[5]16_17 fleet_v2'!$D282)/'Original 2016-17 Data'!$C14)/1000000</f>
        <v>51.424565979716277</v>
      </c>
      <c r="I139" s="56">
        <f>I15*(('[6]17_18 fleet_v3'!$D269+'[6]17_18 fleet_v3'!$D284)/'Original 2017-18 Data'!$C14)/1000000</f>
        <v>74.122642398713396</v>
      </c>
      <c r="J139" s="56">
        <f ca="1">$I139*(Taxi_Household_Share*('Taxi-Vehicle Share Supporting D'!J124/'Taxi-Vehicle Share Supporting D'!$I124)+Taxi_Tourist_Share*('Taxi-Vehicle Share Supporting D'!J145/'Taxi-Vehicle Share Supporting D'!$I145)+Taxi_Commercial_Share*('Taxi-Vehicle Share Supporting D'!J208/'Taxi-Vehicle Share Supporting D'!$I208))+'Taxi-Vehicle Share Supporting D'!J103*($I57/($I57+'Van+Ute'!$I57))+'Taxi-Vehicle Share Supporting D'!J166</f>
        <v>87.399798303283063</v>
      </c>
      <c r="K139" s="56">
        <f ca="1">$I139*(Taxi_Household_Share*('Taxi-Vehicle Share Supporting D'!K124/'Taxi-Vehicle Share Supporting D'!$I124)+Taxi_Tourist_Share*('Taxi-Vehicle Share Supporting D'!K145/'Taxi-Vehicle Share Supporting D'!$I145)+Taxi_Commercial_Share*('Taxi-Vehicle Share Supporting D'!K208/'Taxi-Vehicle Share Supporting D'!$I208))+'Taxi-Vehicle Share Supporting D'!K103*($I57/($I57+'Van+Ute'!$I57))+'Taxi-Vehicle Share Supporting D'!K166</f>
        <v>382.45400750279066</v>
      </c>
      <c r="L139" s="56">
        <f ca="1">$I139*(Taxi_Household_Share*('Taxi-Vehicle Share Supporting D'!L124/'Taxi-Vehicle Share Supporting D'!$I124)+Taxi_Tourist_Share*('Taxi-Vehicle Share Supporting D'!L145/'Taxi-Vehicle Share Supporting D'!$I145)+Taxi_Commercial_Share*('Taxi-Vehicle Share Supporting D'!L208/'Taxi-Vehicle Share Supporting D'!$I208))+'Taxi-Vehicle Share Supporting D'!L103*($I57/($I57+'Van+Ute'!$I57))+'Taxi-Vehicle Share Supporting D'!L166</f>
        <v>700.49274766976851</v>
      </c>
      <c r="M139" s="56">
        <f ca="1">$I139*(Taxi_Household_Share*('Taxi-Vehicle Share Supporting D'!M124/'Taxi-Vehicle Share Supporting D'!$I124)+Taxi_Tourist_Share*('Taxi-Vehicle Share Supporting D'!M145/'Taxi-Vehicle Share Supporting D'!$I145)+Taxi_Commercial_Share*('Taxi-Vehicle Share Supporting D'!M208/'Taxi-Vehicle Share Supporting D'!$I208))+'Taxi-Vehicle Share Supporting D'!M103*($I57/($I57+'Van+Ute'!$I57))+'Taxi-Vehicle Share Supporting D'!M166</f>
        <v>1032.2046626831609</v>
      </c>
      <c r="N139" s="56">
        <f ca="1">$I139*(Taxi_Household_Share*('Taxi-Vehicle Share Supporting D'!N124/'Taxi-Vehicle Share Supporting D'!$I124)+Taxi_Tourist_Share*('Taxi-Vehicle Share Supporting D'!N145/'Taxi-Vehicle Share Supporting D'!$I145)+Taxi_Commercial_Share*('Taxi-Vehicle Share Supporting D'!N208/'Taxi-Vehicle Share Supporting D'!$I208))+'Taxi-Vehicle Share Supporting D'!N103*($I57/($I57+'Van+Ute'!$I57))+'Taxi-Vehicle Share Supporting D'!N166</f>
        <v>1376.2067120458184</v>
      </c>
      <c r="O139" s="159">
        <f ca="1">$I139*(Taxi_Household_Share*('Taxi-Vehicle Share Supporting D'!O124/'Taxi-Vehicle Share Supporting D'!$I124)+Taxi_Tourist_Share*('Taxi-Vehicle Share Supporting D'!O145/'Taxi-Vehicle Share Supporting D'!$I145)+Taxi_Commercial_Share*('Taxi-Vehicle Share Supporting D'!O208/'Taxi-Vehicle Share Supporting D'!$I208))+'Taxi-Vehicle Share Supporting D'!O103*($I57/($I57+'Van+Ute'!$I57))+'Taxi-Vehicle Share Supporting D'!O166</f>
        <v>1731.4958999208886</v>
      </c>
      <c r="P139" s="159">
        <f ca="1">$I139*(Taxi_Household_Share*('Taxi-Vehicle Share Supporting D'!P124/'Taxi-Vehicle Share Supporting D'!$I124)+Taxi_Tourist_Share*('Taxi-Vehicle Share Supporting D'!P145/'Taxi-Vehicle Share Supporting D'!$I145)+Taxi_Commercial_Share*('Taxi-Vehicle Share Supporting D'!P208/'Taxi-Vehicle Share Supporting D'!$I208))+'Taxi-Vehicle Share Supporting D'!P103*($I57/($I57+'Van+Ute'!$I57))+'Taxi-Vehicle Share Supporting D'!P166</f>
        <v>2095.9987714835711</v>
      </c>
      <c r="Q139" s="160">
        <f ca="1">$I139*(Taxi_Household_Share*('Taxi-Vehicle Share Supporting D'!Q124/'Taxi-Vehicle Share Supporting D'!$I124)+Taxi_Tourist_Share*('Taxi-Vehicle Share Supporting D'!Q145/'Taxi-Vehicle Share Supporting D'!$I145)+Taxi_Commercial_Share*('Taxi-Vehicle Share Supporting D'!Q208/'Taxi-Vehicle Share Supporting D'!$I208))+'Taxi-Vehicle Share Supporting D'!Q103*($I57/($I57+'Van+Ute'!$I57))+'Taxi-Vehicle Share Supporting D'!Q166</f>
        <v>2469.3864647945779</v>
      </c>
      <c r="R139" s="56"/>
    </row>
    <row r="140" spans="3:18" ht="15.5" x14ac:dyDescent="0.35">
      <c r="C140" s="24" t="s">
        <v>9</v>
      </c>
      <c r="D140" s="55">
        <f>D16*(('[1]12_13 fleet'!$D266+'[1]12_13 fleet'!$D281)/'Original 2012-13 Data'!$C15)/1000000</f>
        <v>4.2639144470841748</v>
      </c>
      <c r="E140" s="56">
        <f>E16*(('[2]13_14 fleet'!$D268+'[2]13_14 fleet'!$D283)/'Original 2013-14 Data'!$C15)/1000000</f>
        <v>3.7661043874597167</v>
      </c>
      <c r="F140" s="56">
        <f>F16*(('[3]14_15 fleet'!$D268+'[3]14_15 fleet'!$D283)/'Original 2014-15 Data'!$C15)/1000000</f>
        <v>3.0653566928419487</v>
      </c>
      <c r="G140" s="56">
        <f>G16*(('[4]15_16 fleet'!$D268+'[4]15_16 fleet'!$D283)/'Original 2015-16 Data'!$C15)/1000000</f>
        <v>3.3904120010962453</v>
      </c>
      <c r="H140" s="56">
        <f>H16*(('[5]16_17 fleet_v2'!$D268+'[5]16_17 fleet_v2'!$D283)/'Original 2016-17 Data'!$C15)/1000000</f>
        <v>4.4995744586774338</v>
      </c>
      <c r="I140" s="56">
        <f>I16*(('[6]17_18 fleet_v3'!$D270+'[6]17_18 fleet_v3'!$D285)/'Original 2017-18 Data'!$C15)/1000000</f>
        <v>5.0806724138845087</v>
      </c>
      <c r="J140" s="56">
        <f ca="1">$I140*(Taxi_Household_Share*('Taxi-Vehicle Share Supporting D'!J125/'Taxi-Vehicle Share Supporting D'!$I125)+Taxi_Tourist_Share*('Taxi-Vehicle Share Supporting D'!J146/'Taxi-Vehicle Share Supporting D'!$I146)+Taxi_Commercial_Share*('Taxi-Vehicle Share Supporting D'!J209/'Taxi-Vehicle Share Supporting D'!$I209))+'Taxi-Vehicle Share Supporting D'!J104*($I58/($I58+'Van+Ute'!$I58))+'Taxi-Vehicle Share Supporting D'!J167</f>
        <v>5.8807415489358448</v>
      </c>
      <c r="K140" s="56">
        <f ca="1">$I140*(Taxi_Household_Share*('Taxi-Vehicle Share Supporting D'!K125/'Taxi-Vehicle Share Supporting D'!$I125)+Taxi_Tourist_Share*('Taxi-Vehicle Share Supporting D'!K146/'Taxi-Vehicle Share Supporting D'!$I146)+Taxi_Commercial_Share*('Taxi-Vehicle Share Supporting D'!K209/'Taxi-Vehicle Share Supporting D'!$I209))+'Taxi-Vehicle Share Supporting D'!K104*($I58/($I58+'Van+Ute'!$I58))+'Taxi-Vehicle Share Supporting D'!K167</f>
        <v>105.25361850569466</v>
      </c>
      <c r="L140" s="56">
        <f ca="1">$I140*(Taxi_Household_Share*('Taxi-Vehicle Share Supporting D'!L125/'Taxi-Vehicle Share Supporting D'!$I125)+Taxi_Tourist_Share*('Taxi-Vehicle Share Supporting D'!L146/'Taxi-Vehicle Share Supporting D'!$I146)+Taxi_Commercial_Share*('Taxi-Vehicle Share Supporting D'!L209/'Taxi-Vehicle Share Supporting D'!$I209))+'Taxi-Vehicle Share Supporting D'!L104*($I58/($I58+'Van+Ute'!$I58))+'Taxi-Vehicle Share Supporting D'!L167</f>
        <v>208.73149992739775</v>
      </c>
      <c r="M140" s="56">
        <f ca="1">$I140*(Taxi_Household_Share*('Taxi-Vehicle Share Supporting D'!M125/'Taxi-Vehicle Share Supporting D'!$I125)+Taxi_Tourist_Share*('Taxi-Vehicle Share Supporting D'!M146/'Taxi-Vehicle Share Supporting D'!$I146)+Taxi_Commercial_Share*('Taxi-Vehicle Share Supporting D'!M209/'Taxi-Vehicle Share Supporting D'!$I209))+'Taxi-Vehicle Share Supporting D'!M104*($I58/($I58+'Van+Ute'!$I58))+'Taxi-Vehicle Share Supporting D'!M167</f>
        <v>312.5987664366811</v>
      </c>
      <c r="N140" s="56">
        <f ca="1">$I140*(Taxi_Household_Share*('Taxi-Vehicle Share Supporting D'!N125/'Taxi-Vehicle Share Supporting D'!$I125)+Taxi_Tourist_Share*('Taxi-Vehicle Share Supporting D'!N146/'Taxi-Vehicle Share Supporting D'!$I146)+Taxi_Commercial_Share*('Taxi-Vehicle Share Supporting D'!N209/'Taxi-Vehicle Share Supporting D'!$I209))+'Taxi-Vehicle Share Supporting D'!N104*($I58/($I58+'Van+Ute'!$I58))+'Taxi-Vehicle Share Supporting D'!N167</f>
        <v>415.41602433198136</v>
      </c>
      <c r="O140" s="159">
        <f ca="1">$I140*(Taxi_Household_Share*('Taxi-Vehicle Share Supporting D'!O125/'Taxi-Vehicle Share Supporting D'!$I125)+Taxi_Tourist_Share*('Taxi-Vehicle Share Supporting D'!O146/'Taxi-Vehicle Share Supporting D'!$I146)+Taxi_Commercial_Share*('Taxi-Vehicle Share Supporting D'!O209/'Taxi-Vehicle Share Supporting D'!$I209))+'Taxi-Vehicle Share Supporting D'!O104*($I58/($I58+'Van+Ute'!$I58))+'Taxi-Vehicle Share Supporting D'!O167</f>
        <v>517.32327767951551</v>
      </c>
      <c r="P140" s="159">
        <f ca="1">$I140*(Taxi_Household_Share*('Taxi-Vehicle Share Supporting D'!P125/'Taxi-Vehicle Share Supporting D'!$I125)+Taxi_Tourist_Share*('Taxi-Vehicle Share Supporting D'!P146/'Taxi-Vehicle Share Supporting D'!$I146)+Taxi_Commercial_Share*('Taxi-Vehicle Share Supporting D'!P209/'Taxi-Vehicle Share Supporting D'!$I209))+'Taxi-Vehicle Share Supporting D'!P104*($I58/($I58+'Van+Ute'!$I58))+'Taxi-Vehicle Share Supporting D'!P167</f>
        <v>617.21341350159253</v>
      </c>
      <c r="Q140" s="160">
        <f ca="1">$I140*(Taxi_Household_Share*('Taxi-Vehicle Share Supporting D'!Q125/'Taxi-Vehicle Share Supporting D'!$I125)+Taxi_Tourist_Share*('Taxi-Vehicle Share Supporting D'!Q146/'Taxi-Vehicle Share Supporting D'!$I146)+Taxi_Commercial_Share*('Taxi-Vehicle Share Supporting D'!Q209/'Taxi-Vehicle Share Supporting D'!$I209))+'Taxi-Vehicle Share Supporting D'!Q104*($I58/($I58+'Van+Ute'!$I58))+'Taxi-Vehicle Share Supporting D'!Q167</f>
        <v>714.90232033917846</v>
      </c>
      <c r="R140" s="56"/>
    </row>
    <row r="141" spans="3:18" ht="15.5" x14ac:dyDescent="0.35">
      <c r="C141" s="24" t="s">
        <v>10</v>
      </c>
      <c r="D141" s="55">
        <f>D17*(('[1]12_13 fleet'!$D267+'[1]12_13 fleet'!$D282)/'Original 2012-13 Data'!$C16)/1000000</f>
        <v>1.1442225342133525</v>
      </c>
      <c r="E141" s="56">
        <f>E17*(('[2]13_14 fleet'!$D269+'[2]13_14 fleet'!$D284)/'Original 2013-14 Data'!$C16)/1000000</f>
        <v>1.0540488829695094</v>
      </c>
      <c r="F141" s="56">
        <f>F17*(('[3]14_15 fleet'!$D269+'[3]14_15 fleet'!$D284)/'Original 2014-15 Data'!$C16)/1000000</f>
        <v>1.1981472473156056</v>
      </c>
      <c r="G141" s="56">
        <f>G17*(('[4]15_16 fleet'!$D269+'[4]15_16 fleet'!$D284)/'Original 2015-16 Data'!$C16)/1000000</f>
        <v>1.2527801593547454</v>
      </c>
      <c r="H141" s="56">
        <f>H17*(('[5]16_17 fleet_v2'!$D269+'[5]16_17 fleet_v2'!$D284)/'Original 2016-17 Data'!$C16)/1000000</f>
        <v>1.3930143884497399</v>
      </c>
      <c r="I141" s="56">
        <f>I17*(('[6]17_18 fleet_v3'!$D271+'[6]17_18 fleet_v3'!$D286)/'Original 2017-18 Data'!$C16)/1000000</f>
        <v>1.5927428149916818</v>
      </c>
      <c r="J141" s="56">
        <f ca="1">$I141*(Taxi_Household_Share*('Taxi-Vehicle Share Supporting D'!J126/'Taxi-Vehicle Share Supporting D'!$I126)+Taxi_Tourist_Share*('Taxi-Vehicle Share Supporting D'!J147/'Taxi-Vehicle Share Supporting D'!$I147)+Taxi_Commercial_Share*('Taxi-Vehicle Share Supporting D'!J210/'Taxi-Vehicle Share Supporting D'!$I210))+'Taxi-Vehicle Share Supporting D'!J105*($I59/($I59+'Van+Ute'!$I59))+'Taxi-Vehicle Share Supporting D'!J168</f>
        <v>1.8099469840817424</v>
      </c>
      <c r="K141" s="56">
        <f ca="1">$I141*(Taxi_Household_Share*('Taxi-Vehicle Share Supporting D'!K126/'Taxi-Vehicle Share Supporting D'!$I126)+Taxi_Tourist_Share*('Taxi-Vehicle Share Supporting D'!K147/'Taxi-Vehicle Share Supporting D'!$I147)+Taxi_Commercial_Share*('Taxi-Vehicle Share Supporting D'!K210/'Taxi-Vehicle Share Supporting D'!$I210))+'Taxi-Vehicle Share Supporting D'!K105*($I59/($I59+'Van+Ute'!$I59))+'Taxi-Vehicle Share Supporting D'!K168</f>
        <v>36.139382148338875</v>
      </c>
      <c r="L141" s="56">
        <f ca="1">$I141*(Taxi_Household_Share*('Taxi-Vehicle Share Supporting D'!L126/'Taxi-Vehicle Share Supporting D'!$I126)+Taxi_Tourist_Share*('Taxi-Vehicle Share Supporting D'!L147/'Taxi-Vehicle Share Supporting D'!$I147)+Taxi_Commercial_Share*('Taxi-Vehicle Share Supporting D'!L210/'Taxi-Vehicle Share Supporting D'!$I210))+'Taxi-Vehicle Share Supporting D'!L105*($I59/($I59+'Van+Ute'!$I59))+'Taxi-Vehicle Share Supporting D'!L168</f>
        <v>69.998975471807782</v>
      </c>
      <c r="M141" s="56">
        <f ca="1">$I141*(Taxi_Household_Share*('Taxi-Vehicle Share Supporting D'!M126/'Taxi-Vehicle Share Supporting D'!$I126)+Taxi_Tourist_Share*('Taxi-Vehicle Share Supporting D'!M147/'Taxi-Vehicle Share Supporting D'!$I147)+Taxi_Commercial_Share*('Taxi-Vehicle Share Supporting D'!M210/'Taxi-Vehicle Share Supporting D'!$I210))+'Taxi-Vehicle Share Supporting D'!M105*($I59/($I59+'Van+Ute'!$I59))+'Taxi-Vehicle Share Supporting D'!M168</f>
        <v>102.1869703745578</v>
      </c>
      <c r="N141" s="56">
        <f ca="1">$I141*(Taxi_Household_Share*('Taxi-Vehicle Share Supporting D'!N126/'Taxi-Vehicle Share Supporting D'!$I126)+Taxi_Tourist_Share*('Taxi-Vehicle Share Supporting D'!N147/'Taxi-Vehicle Share Supporting D'!$I147)+Taxi_Commercial_Share*('Taxi-Vehicle Share Supporting D'!N210/'Taxi-Vehicle Share Supporting D'!$I210))+'Taxi-Vehicle Share Supporting D'!N105*($I59/($I59+'Van+Ute'!$I59))+'Taxi-Vehicle Share Supporting D'!N168</f>
        <v>132.63343207219293</v>
      </c>
      <c r="O141" s="159">
        <f ca="1">$I141*(Taxi_Household_Share*('Taxi-Vehicle Share Supporting D'!O126/'Taxi-Vehicle Share Supporting D'!$I126)+Taxi_Tourist_Share*('Taxi-Vehicle Share Supporting D'!O147/'Taxi-Vehicle Share Supporting D'!$I147)+Taxi_Commercial_Share*('Taxi-Vehicle Share Supporting D'!O210/'Taxi-Vehicle Share Supporting D'!$I210))+'Taxi-Vehicle Share Supporting D'!O105*($I59/($I59+'Van+Ute'!$I59))+'Taxi-Vehicle Share Supporting D'!O168</f>
        <v>161.25060360693064</v>
      </c>
      <c r="P141" s="159">
        <f ca="1">$I141*(Taxi_Household_Share*('Taxi-Vehicle Share Supporting D'!P126/'Taxi-Vehicle Share Supporting D'!$I126)+Taxi_Tourist_Share*('Taxi-Vehicle Share Supporting D'!P147/'Taxi-Vehicle Share Supporting D'!$I147)+Taxi_Commercial_Share*('Taxi-Vehicle Share Supporting D'!P210/'Taxi-Vehicle Share Supporting D'!$I210))+'Taxi-Vehicle Share Supporting D'!P105*($I59/($I59+'Van+Ute'!$I59))+'Taxi-Vehicle Share Supporting D'!P168</f>
        <v>187.79126173224404</v>
      </c>
      <c r="Q141" s="160">
        <f ca="1">$I141*(Taxi_Household_Share*('Taxi-Vehicle Share Supporting D'!Q126/'Taxi-Vehicle Share Supporting D'!$I126)+Taxi_Tourist_Share*('Taxi-Vehicle Share Supporting D'!Q147/'Taxi-Vehicle Share Supporting D'!$I147)+Taxi_Commercial_Share*('Taxi-Vehicle Share Supporting D'!Q210/'Taxi-Vehicle Share Supporting D'!$I210))+'Taxi-Vehicle Share Supporting D'!Q105*($I59/($I59+'Van+Ute'!$I59))+'Taxi-Vehicle Share Supporting D'!Q168</f>
        <v>212.29814692760826</v>
      </c>
      <c r="R141" s="56"/>
    </row>
    <row r="142" spans="3:18" ht="15.5" x14ac:dyDescent="0.35">
      <c r="C142" s="24" t="s">
        <v>11</v>
      </c>
      <c r="D142" s="55">
        <f>D18*(('[1]12_13 fleet'!$D268+'[1]12_13 fleet'!$D283)/'Original 2012-13 Data'!$C17)/1000000</f>
        <v>24.862057792989166</v>
      </c>
      <c r="E142" s="56">
        <f>E18*(('[2]13_14 fleet'!$D270+'[2]13_14 fleet'!$D285)/'Original 2013-14 Data'!$C17)/1000000</f>
        <v>26.303948770777119</v>
      </c>
      <c r="F142" s="56">
        <f>F18*(('[3]14_15 fleet'!$D270+'[3]14_15 fleet'!$D285)/'Original 2014-15 Data'!$C17)/1000000</f>
        <v>26.789571187121513</v>
      </c>
      <c r="G142" s="56">
        <f>G18*(('[4]15_16 fleet'!$D270+'[4]15_16 fleet'!$D285)/'Original 2015-16 Data'!$C17)/1000000</f>
        <v>27.744235891513373</v>
      </c>
      <c r="H142" s="56">
        <f>H18*(('[5]16_17 fleet_v2'!$D270+'[5]16_17 fleet_v2'!$D285)/'Original 2016-17 Data'!$C17)/1000000</f>
        <v>30.216206847380992</v>
      </c>
      <c r="I142" s="56">
        <f>I18*(('[6]17_18 fleet_v3'!$D272+'[6]17_18 fleet_v3'!$D287)/'Original 2017-18 Data'!$C17)/1000000</f>
        <v>47.342605656794078</v>
      </c>
      <c r="J142" s="56">
        <f ca="1">$I142*(Taxi_Household_Share*('Taxi-Vehicle Share Supporting D'!J127/'Taxi-Vehicle Share Supporting D'!$I127)+Taxi_Tourist_Share*('Taxi-Vehicle Share Supporting D'!J148/'Taxi-Vehicle Share Supporting D'!$I148)+Taxi_Commercial_Share*('Taxi-Vehicle Share Supporting D'!J211/'Taxi-Vehicle Share Supporting D'!$I211))+'Taxi-Vehicle Share Supporting D'!J106*($I60/($I60+'Van+Ute'!$I60))+'Taxi-Vehicle Share Supporting D'!J169</f>
        <v>56.469326278771511</v>
      </c>
      <c r="K142" s="56">
        <f ca="1">$I142*(Taxi_Household_Share*('Taxi-Vehicle Share Supporting D'!K127/'Taxi-Vehicle Share Supporting D'!$I127)+Taxi_Tourist_Share*('Taxi-Vehicle Share Supporting D'!K148/'Taxi-Vehicle Share Supporting D'!$I148)+Taxi_Commercial_Share*('Taxi-Vehicle Share Supporting D'!K211/'Taxi-Vehicle Share Supporting D'!$I211))+'Taxi-Vehicle Share Supporting D'!K106*($I60/($I60+'Van+Ute'!$I60))+'Taxi-Vehicle Share Supporting D'!K169</f>
        <v>509.87293990352043</v>
      </c>
      <c r="L142" s="56">
        <f ca="1">$I142*(Taxi_Household_Share*('Taxi-Vehicle Share Supporting D'!L127/'Taxi-Vehicle Share Supporting D'!$I127)+Taxi_Tourist_Share*('Taxi-Vehicle Share Supporting D'!L148/'Taxi-Vehicle Share Supporting D'!$I148)+Taxi_Commercial_Share*('Taxi-Vehicle Share Supporting D'!L211/'Taxi-Vehicle Share Supporting D'!$I211))+'Taxi-Vehicle Share Supporting D'!L106*($I60/($I60+'Van+Ute'!$I60))+'Taxi-Vehicle Share Supporting D'!L169</f>
        <v>1011.512589566052</v>
      </c>
      <c r="M142" s="56">
        <f ca="1">$I142*(Taxi_Household_Share*('Taxi-Vehicle Share Supporting D'!M127/'Taxi-Vehicle Share Supporting D'!$I127)+Taxi_Tourist_Share*('Taxi-Vehicle Share Supporting D'!M148/'Taxi-Vehicle Share Supporting D'!$I148)+Taxi_Commercial_Share*('Taxi-Vehicle Share Supporting D'!M211/'Taxi-Vehicle Share Supporting D'!$I211))+'Taxi-Vehicle Share Supporting D'!M106*($I60/($I60+'Van+Ute'!$I60))+'Taxi-Vehicle Share Supporting D'!M169</f>
        <v>1547.4338602613523</v>
      </c>
      <c r="N142" s="56">
        <f ca="1">$I142*(Taxi_Household_Share*('Taxi-Vehicle Share Supporting D'!N127/'Taxi-Vehicle Share Supporting D'!$I127)+Taxi_Tourist_Share*('Taxi-Vehicle Share Supporting D'!N148/'Taxi-Vehicle Share Supporting D'!$I148)+Taxi_Commercial_Share*('Taxi-Vehicle Share Supporting D'!N211/'Taxi-Vehicle Share Supporting D'!$I211))+'Taxi-Vehicle Share Supporting D'!N106*($I60/($I60+'Van+Ute'!$I60))+'Taxi-Vehicle Share Supporting D'!N169</f>
        <v>2115.3370647535389</v>
      </c>
      <c r="O142" s="159">
        <f ca="1">$I142*(Taxi_Household_Share*('Taxi-Vehicle Share Supporting D'!O127/'Taxi-Vehicle Share Supporting D'!$I127)+Taxi_Tourist_Share*('Taxi-Vehicle Share Supporting D'!O148/'Taxi-Vehicle Share Supporting D'!$I148)+Taxi_Commercial_Share*('Taxi-Vehicle Share Supporting D'!O211/'Taxi-Vehicle Share Supporting D'!$I211))+'Taxi-Vehicle Share Supporting D'!O106*($I60/($I60+'Van+Ute'!$I60))+'Taxi-Vehicle Share Supporting D'!O169</f>
        <v>2717.4017770079995</v>
      </c>
      <c r="P142" s="159">
        <f ca="1">$I142*(Taxi_Household_Share*('Taxi-Vehicle Share Supporting D'!P127/'Taxi-Vehicle Share Supporting D'!$I127)+Taxi_Tourist_Share*('Taxi-Vehicle Share Supporting D'!P148/'Taxi-Vehicle Share Supporting D'!$I148)+Taxi_Commercial_Share*('Taxi-Vehicle Share Supporting D'!P211/'Taxi-Vehicle Share Supporting D'!$I211))+'Taxi-Vehicle Share Supporting D'!P106*($I60/($I60+'Van+Ute'!$I60))+'Taxi-Vehicle Share Supporting D'!P169</f>
        <v>3348.6655814579431</v>
      </c>
      <c r="Q142" s="160">
        <f ca="1">$I142*(Taxi_Household_Share*('Taxi-Vehicle Share Supporting D'!Q127/'Taxi-Vehicle Share Supporting D'!$I127)+Taxi_Tourist_Share*('Taxi-Vehicle Share Supporting D'!Q148/'Taxi-Vehicle Share Supporting D'!$I148)+Taxi_Commercial_Share*('Taxi-Vehicle Share Supporting D'!Q211/'Taxi-Vehicle Share Supporting D'!$I211))+'Taxi-Vehicle Share Supporting D'!Q106*($I60/($I60+'Van+Ute'!$I60))+'Taxi-Vehicle Share Supporting D'!Q169</f>
        <v>4009.0598484486386</v>
      </c>
      <c r="R142" s="56"/>
    </row>
    <row r="143" spans="3:18" ht="15.5" x14ac:dyDescent="0.35">
      <c r="C143" s="24" t="s">
        <v>12</v>
      </c>
      <c r="D143" s="55">
        <f>D19*(('[1]12_13 fleet'!$D269+'[1]12_13 fleet'!$D284)/'Original 2012-13 Data'!$C18)/1000000</f>
        <v>17.766310419074774</v>
      </c>
      <c r="E143" s="56">
        <f>E19*(('[2]13_14 fleet'!$D271+'[2]13_14 fleet'!$D286)/'Original 2013-14 Data'!$C18)/1000000</f>
        <v>18.072894877182335</v>
      </c>
      <c r="F143" s="56">
        <f>F19*(('[3]14_15 fleet'!$D271+'[3]14_15 fleet'!$D286)/'Original 2014-15 Data'!$C18)/1000000</f>
        <v>18.185270146652563</v>
      </c>
      <c r="G143" s="56">
        <f>G19*(('[4]15_16 fleet'!$D271+'[4]15_16 fleet'!$D286)/'Original 2015-16 Data'!$C18)/1000000</f>
        <v>18.159673241310536</v>
      </c>
      <c r="H143" s="56">
        <f>H19*(('[5]16_17 fleet_v2'!$D271+'[5]16_17 fleet_v2'!$D286)/'Original 2016-17 Data'!$C18)/1000000</f>
        <v>20.602668986680616</v>
      </c>
      <c r="I143" s="56">
        <f>I19*(('[6]17_18 fleet_v3'!$D273+'[6]17_18 fleet_v3'!$D288)/'Original 2017-18 Data'!$C18)/1000000</f>
        <v>16.712466700272337</v>
      </c>
      <c r="J143" s="56">
        <f ca="1">$I143*(Taxi_Household_Share*('Taxi-Vehicle Share Supporting D'!J128/'Taxi-Vehicle Share Supporting D'!$I128)+Taxi_Tourist_Share*('Taxi-Vehicle Share Supporting D'!J149/'Taxi-Vehicle Share Supporting D'!$I149)+Taxi_Commercial_Share*('Taxi-Vehicle Share Supporting D'!J212/'Taxi-Vehicle Share Supporting D'!$I212))+'Taxi-Vehicle Share Supporting D'!J107*($I61/($I61+'Van+Ute'!$I61))+'Taxi-Vehicle Share Supporting D'!J170</f>
        <v>19.918813623770909</v>
      </c>
      <c r="K143" s="56">
        <f ca="1">$I143*(Taxi_Household_Share*('Taxi-Vehicle Share Supporting D'!K128/'Taxi-Vehicle Share Supporting D'!$I128)+Taxi_Tourist_Share*('Taxi-Vehicle Share Supporting D'!K149/'Taxi-Vehicle Share Supporting D'!$I149)+Taxi_Commercial_Share*('Taxi-Vehicle Share Supporting D'!K212/'Taxi-Vehicle Share Supporting D'!$I212))+'Taxi-Vehicle Share Supporting D'!K107*($I61/($I61+'Van+Ute'!$I61))+'Taxi-Vehicle Share Supporting D'!K170</f>
        <v>208.01777239357426</v>
      </c>
      <c r="L143" s="56">
        <f ca="1">$I143*(Taxi_Household_Share*('Taxi-Vehicle Share Supporting D'!L128/'Taxi-Vehicle Share Supporting D'!$I128)+Taxi_Tourist_Share*('Taxi-Vehicle Share Supporting D'!L149/'Taxi-Vehicle Share Supporting D'!$I149)+Taxi_Commercial_Share*('Taxi-Vehicle Share Supporting D'!L212/'Taxi-Vehicle Share Supporting D'!$I212))+'Taxi-Vehicle Share Supporting D'!L107*($I61/($I61+'Van+Ute'!$I61))+'Taxi-Vehicle Share Supporting D'!L170</f>
        <v>414.57132079464623</v>
      </c>
      <c r="M143" s="56">
        <f ca="1">$I143*(Taxi_Household_Share*('Taxi-Vehicle Share Supporting D'!M128/'Taxi-Vehicle Share Supporting D'!$I128)+Taxi_Tourist_Share*('Taxi-Vehicle Share Supporting D'!M149/'Taxi-Vehicle Share Supporting D'!$I149)+Taxi_Commercial_Share*('Taxi-Vehicle Share Supporting D'!M212/'Taxi-Vehicle Share Supporting D'!$I212))+'Taxi-Vehicle Share Supporting D'!M107*($I61/($I61+'Van+Ute'!$I61))+'Taxi-Vehicle Share Supporting D'!M170</f>
        <v>633.34957604484043</v>
      </c>
      <c r="N143" s="56">
        <f ca="1">$I143*(Taxi_Household_Share*('Taxi-Vehicle Share Supporting D'!N128/'Taxi-Vehicle Share Supporting D'!$I128)+Taxi_Tourist_Share*('Taxi-Vehicle Share Supporting D'!N149/'Taxi-Vehicle Share Supporting D'!$I149)+Taxi_Commercial_Share*('Taxi-Vehicle Share Supporting D'!N212/'Taxi-Vehicle Share Supporting D'!$I212))+'Taxi-Vehicle Share Supporting D'!N107*($I61/($I61+'Van+Ute'!$I61))+'Taxi-Vehicle Share Supporting D'!N170</f>
        <v>863.57429558102649</v>
      </c>
      <c r="O143" s="159">
        <f ca="1">$I143*(Taxi_Household_Share*('Taxi-Vehicle Share Supporting D'!O128/'Taxi-Vehicle Share Supporting D'!$I128)+Taxi_Tourist_Share*('Taxi-Vehicle Share Supporting D'!O149/'Taxi-Vehicle Share Supporting D'!$I149)+Taxi_Commercial_Share*('Taxi-Vehicle Share Supporting D'!O212/'Taxi-Vehicle Share Supporting D'!$I212))+'Taxi-Vehicle Share Supporting D'!O107*($I61/($I61+'Van+Ute'!$I61))+'Taxi-Vehicle Share Supporting D'!O170</f>
        <v>1105.19996267739</v>
      </c>
      <c r="P143" s="159">
        <f ca="1">$I143*(Taxi_Household_Share*('Taxi-Vehicle Share Supporting D'!P128/'Taxi-Vehicle Share Supporting D'!$I128)+Taxi_Tourist_Share*('Taxi-Vehicle Share Supporting D'!P149/'Taxi-Vehicle Share Supporting D'!$I149)+Taxi_Commercial_Share*('Taxi-Vehicle Share Supporting D'!P212/'Taxi-Vehicle Share Supporting D'!$I212))+'Taxi-Vehicle Share Supporting D'!P107*($I61/($I61+'Van+Ute'!$I61))+'Taxi-Vehicle Share Supporting D'!P170</f>
        <v>1356.306983150426</v>
      </c>
      <c r="Q143" s="160">
        <f ca="1">$I143*(Taxi_Household_Share*('Taxi-Vehicle Share Supporting D'!Q128/'Taxi-Vehicle Share Supporting D'!$I128)+Taxi_Tourist_Share*('Taxi-Vehicle Share Supporting D'!Q149/'Taxi-Vehicle Share Supporting D'!$I149)+Taxi_Commercial_Share*('Taxi-Vehicle Share Supporting D'!Q212/'Taxi-Vehicle Share Supporting D'!$I212))+'Taxi-Vehicle Share Supporting D'!Q107*($I61/($I61+'Van+Ute'!$I61))+'Taxi-Vehicle Share Supporting D'!Q170</f>
        <v>1616.6929227431117</v>
      </c>
      <c r="R143" s="56"/>
    </row>
    <row r="144" spans="3:18" ht="16" thickBot="1" x14ac:dyDescent="0.4">
      <c r="C144" s="25" t="s">
        <v>13</v>
      </c>
      <c r="D144" s="58">
        <f>D20*(('[1]12_13 fleet'!$D270+'[1]12_13 fleet'!$D285)/'Original 2012-13 Data'!$C19)/1000000</f>
        <v>2.5661029971918534</v>
      </c>
      <c r="E144" s="59">
        <f>E20*(('[2]13_14 fleet'!$D272+'[2]13_14 fleet'!$D287)/'Original 2013-14 Data'!$C19)/1000000</f>
        <v>2.5744664490356262</v>
      </c>
      <c r="F144" s="59">
        <f>F20*(('[3]14_15 fleet'!$D272+'[3]14_15 fleet'!$D287)/'Original 2014-15 Data'!$C19)/1000000</f>
        <v>2.5363372542740827</v>
      </c>
      <c r="G144" s="59">
        <f>G20*(('[4]15_16 fleet'!$D272+'[4]15_16 fleet'!$D287)/'Original 2015-16 Data'!$C19)/1000000</f>
        <v>2.8248514415350829</v>
      </c>
      <c r="H144" s="59">
        <f>H20*(('[5]16_17 fleet_v2'!$D272+'[5]16_17 fleet_v2'!$D287)/'Original 2016-17 Data'!$C19)/1000000</f>
        <v>3.0957175275153377</v>
      </c>
      <c r="I144" s="59">
        <f>I20*(('[6]17_18 fleet_v3'!$D274+'[6]17_18 fleet_v3'!$D289)/'Original 2017-18 Data'!$C19)/1000000</f>
        <v>3.1564414721785026</v>
      </c>
      <c r="J144" s="59">
        <f ca="1">$I144*(Taxi_Household_Share*('Taxi-Vehicle Share Supporting D'!J129/'Taxi-Vehicle Share Supporting D'!$I129)+Taxi_Tourist_Share*('Taxi-Vehicle Share Supporting D'!J150/'Taxi-Vehicle Share Supporting D'!$I150)+Taxi_Commercial_Share*('Taxi-Vehicle Share Supporting D'!J213/'Taxi-Vehicle Share Supporting D'!$I213))+'Taxi-Vehicle Share Supporting D'!J108*($I62/($I62+'Van+Ute'!$I62))+'Taxi-Vehicle Share Supporting D'!J171</f>
        <v>3.6051065163323481</v>
      </c>
      <c r="K144" s="59">
        <f ca="1">$I144*(Taxi_Household_Share*('Taxi-Vehicle Share Supporting D'!K129/'Taxi-Vehicle Share Supporting D'!$I129)+Taxi_Tourist_Share*('Taxi-Vehicle Share Supporting D'!K150/'Taxi-Vehicle Share Supporting D'!$I150)+Taxi_Commercial_Share*('Taxi-Vehicle Share Supporting D'!K213/'Taxi-Vehicle Share Supporting D'!$I213))+'Taxi-Vehicle Share Supporting D'!K108*($I62/($I62+'Van+Ute'!$I62))+'Taxi-Vehicle Share Supporting D'!K171</f>
        <v>78.727591439680751</v>
      </c>
      <c r="L144" s="59">
        <f ca="1">$I144*(Taxi_Household_Share*('Taxi-Vehicle Share Supporting D'!L129/'Taxi-Vehicle Share Supporting D'!$I129)+Taxi_Tourist_Share*('Taxi-Vehicle Share Supporting D'!L150/'Taxi-Vehicle Share Supporting D'!$I150)+Taxi_Commercial_Share*('Taxi-Vehicle Share Supporting D'!L213/'Taxi-Vehicle Share Supporting D'!$I213))+'Taxi-Vehicle Share Supporting D'!L108*($I62/($I62+'Van+Ute'!$I62))+'Taxi-Vehicle Share Supporting D'!L171</f>
        <v>154.67916080181269</v>
      </c>
      <c r="M144" s="59">
        <f ca="1">$I144*(Taxi_Household_Share*('Taxi-Vehicle Share Supporting D'!M129/'Taxi-Vehicle Share Supporting D'!$I129)+Taxi_Tourist_Share*('Taxi-Vehicle Share Supporting D'!M150/'Taxi-Vehicle Share Supporting D'!$I150)+Taxi_Commercial_Share*('Taxi-Vehicle Share Supporting D'!M213/'Taxi-Vehicle Share Supporting D'!$I213))+'Taxi-Vehicle Share Supporting D'!M108*($I62/($I62+'Van+Ute'!$I62))+'Taxi-Vehicle Share Supporting D'!M171</f>
        <v>228.87459368921998</v>
      </c>
      <c r="N144" s="59">
        <f ca="1">$I144*(Taxi_Household_Share*('Taxi-Vehicle Share Supporting D'!N129/'Taxi-Vehicle Share Supporting D'!$I129)+Taxi_Tourist_Share*('Taxi-Vehicle Share Supporting D'!N150/'Taxi-Vehicle Share Supporting D'!$I150)+Taxi_Commercial_Share*('Taxi-Vehicle Share Supporting D'!N213/'Taxi-Vehicle Share Supporting D'!$I213))+'Taxi-Vehicle Share Supporting D'!N108*($I62/($I62+'Van+Ute'!$I62))+'Taxi-Vehicle Share Supporting D'!N171</f>
        <v>300.8645125012485</v>
      </c>
      <c r="O144" s="162">
        <f ca="1">$I144*(Taxi_Household_Share*('Taxi-Vehicle Share Supporting D'!O129/'Taxi-Vehicle Share Supporting D'!$I129)+Taxi_Tourist_Share*('Taxi-Vehicle Share Supporting D'!O150/'Taxi-Vehicle Share Supporting D'!$I150)+Taxi_Commercial_Share*('Taxi-Vehicle Share Supporting D'!O213/'Taxi-Vehicle Share Supporting D'!$I213))+'Taxi-Vehicle Share Supporting D'!O108*($I62/($I62+'Van+Ute'!$I62))+'Taxi-Vehicle Share Supporting D'!O171</f>
        <v>370.44676443134551</v>
      </c>
      <c r="P144" s="162">
        <f ca="1">$I144*(Taxi_Household_Share*('Taxi-Vehicle Share Supporting D'!P129/'Taxi-Vehicle Share Supporting D'!$I129)+Taxi_Tourist_Share*('Taxi-Vehicle Share Supporting D'!P150/'Taxi-Vehicle Share Supporting D'!$I150)+Taxi_Commercial_Share*('Taxi-Vehicle Share Supporting D'!P213/'Taxi-Vehicle Share Supporting D'!$I213))+'Taxi-Vehicle Share Supporting D'!P108*($I62/($I62+'Van+Ute'!$I62))+'Taxi-Vehicle Share Supporting D'!P171</f>
        <v>436.88247118155755</v>
      </c>
      <c r="Q144" s="163">
        <f ca="1">$I144*(Taxi_Household_Share*('Taxi-Vehicle Share Supporting D'!Q129/'Taxi-Vehicle Share Supporting D'!$I129)+Taxi_Tourist_Share*('Taxi-Vehicle Share Supporting D'!Q150/'Taxi-Vehicle Share Supporting D'!$I150)+Taxi_Commercial_Share*('Taxi-Vehicle Share Supporting D'!Q213/'Taxi-Vehicle Share Supporting D'!$I213))+'Taxi-Vehicle Share Supporting D'!Q108*($I62/($I62+'Van+Ute'!$I62))+'Taxi-Vehicle Share Supporting D'!Q171</f>
        <v>500.11651433036616</v>
      </c>
      <c r="R144" s="56"/>
    </row>
    <row r="145" spans="3:18" ht="16.5" thickTop="1" thickBot="1" x14ac:dyDescent="0.4">
      <c r="C145" s="31" t="s">
        <v>24</v>
      </c>
      <c r="D145" s="61">
        <f t="shared" ref="D145:Q145" si="52">SUM(D131:D144)</f>
        <v>262.81779245548046</v>
      </c>
      <c r="E145" s="62">
        <f t="shared" si="52"/>
        <v>266.88733686006401</v>
      </c>
      <c r="F145" s="62">
        <f t="shared" si="52"/>
        <v>271.58944823315261</v>
      </c>
      <c r="G145" s="62">
        <f t="shared" si="52"/>
        <v>290.69149218598466</v>
      </c>
      <c r="H145" s="62">
        <f t="shared" si="52"/>
        <v>328.77035123657737</v>
      </c>
      <c r="I145" s="62">
        <f t="shared" si="52"/>
        <v>452.56277442402774</v>
      </c>
      <c r="J145" s="62">
        <f t="shared" ca="1" si="52"/>
        <v>537.62050515392843</v>
      </c>
      <c r="K145" s="62">
        <f t="shared" ca="1" si="52"/>
        <v>3881.2238123421612</v>
      </c>
      <c r="L145" s="62">
        <f t="shared" ca="1" si="52"/>
        <v>7491.9334522248</v>
      </c>
      <c r="M145" s="62">
        <f t="shared" ca="1" si="52"/>
        <v>11260.259852562698</v>
      </c>
      <c r="N145" s="62">
        <f t="shared" ca="1" si="52"/>
        <v>15167.826705492509</v>
      </c>
      <c r="O145" s="125">
        <f t="shared" ca="1" si="52"/>
        <v>19209.700876179741</v>
      </c>
      <c r="P145" s="125">
        <f t="shared" ca="1" si="52"/>
        <v>23355.74409113713</v>
      </c>
      <c r="Q145" s="126">
        <f t="shared" ca="1" si="52"/>
        <v>27600.213517506047</v>
      </c>
      <c r="R145" s="56"/>
    </row>
    <row r="146" spans="3:18" ht="13" thickTop="1" x14ac:dyDescent="0.25">
      <c r="N146" s="121"/>
    </row>
    <row r="147" spans="3:18" ht="13" thickBot="1" x14ac:dyDescent="0.3">
      <c r="N147" s="121"/>
    </row>
    <row r="148" spans="3:18" ht="16" thickTop="1" x14ac:dyDescent="0.35">
      <c r="C148" s="32" t="s">
        <v>123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  <c r="R148" s="121"/>
    </row>
    <row r="149" spans="3:18" ht="13.5" thickBot="1" x14ac:dyDescent="0.35">
      <c r="C149" s="18"/>
      <c r="D149" s="65" t="s">
        <v>25</v>
      </c>
      <c r="E149" s="65" t="s">
        <v>37</v>
      </c>
      <c r="F149" s="65" t="s">
        <v>38</v>
      </c>
      <c r="G149" s="37" t="s">
        <v>177</v>
      </c>
      <c r="H149" s="37" t="s">
        <v>178</v>
      </c>
      <c r="I149" s="65" t="s">
        <v>26</v>
      </c>
      <c r="J149" s="65" t="s">
        <v>27</v>
      </c>
      <c r="K149" s="65" t="s">
        <v>28</v>
      </c>
      <c r="L149" s="65" t="s">
        <v>29</v>
      </c>
      <c r="M149" s="65" t="s">
        <v>30</v>
      </c>
      <c r="N149" s="65" t="s">
        <v>31</v>
      </c>
      <c r="O149" s="37" t="s">
        <v>174</v>
      </c>
      <c r="P149" s="37" t="s">
        <v>175</v>
      </c>
      <c r="Q149" s="38" t="s">
        <v>176</v>
      </c>
      <c r="R149" s="65"/>
    </row>
    <row r="150" spans="3:18" ht="14" thickTop="1" thickBot="1" x14ac:dyDescent="0.35">
      <c r="C150" s="70"/>
      <c r="D150" s="71" t="s">
        <v>39</v>
      </c>
      <c r="E150" s="71" t="s">
        <v>39</v>
      </c>
      <c r="F150" s="71" t="s">
        <v>39</v>
      </c>
      <c r="G150" s="65" t="s">
        <v>39</v>
      </c>
      <c r="H150" s="65" t="s">
        <v>39</v>
      </c>
      <c r="I150" s="71" t="s">
        <v>39</v>
      </c>
      <c r="J150" s="71" t="s">
        <v>32</v>
      </c>
      <c r="K150" s="71" t="s">
        <v>32</v>
      </c>
      <c r="L150" s="71" t="s">
        <v>32</v>
      </c>
      <c r="M150" s="71" t="s">
        <v>32</v>
      </c>
      <c r="N150" s="71" t="s">
        <v>32</v>
      </c>
      <c r="O150" s="65" t="s">
        <v>32</v>
      </c>
      <c r="P150" s="65" t="s">
        <v>32</v>
      </c>
      <c r="Q150" s="66" t="s">
        <v>32</v>
      </c>
      <c r="R150" s="65"/>
    </row>
    <row r="151" spans="3:18" ht="16" thickTop="1" x14ac:dyDescent="0.35">
      <c r="C151" s="24" t="s">
        <v>0</v>
      </c>
      <c r="D151" s="42">
        <f>('[1]12_13 fleet'!$D39+'[1]12_13 fleet'!$D54)*'Light Vehicle Supporting Data'!D$164</f>
        <v>123.03149404685699</v>
      </c>
      <c r="E151" s="43">
        <f>('[2]13_14 fleet'!$D40+'[2]13_14 fleet'!$D55)*'Light Vehicle Supporting Data'!E$164</f>
        <v>143.03603830645162</v>
      </c>
      <c r="F151" s="43">
        <f>('[3]14_15 fleet'!$D40+'[3]14_15 fleet'!$D55)*'Light Vehicle Supporting Data'!F$164</f>
        <v>141.03322337417532</v>
      </c>
      <c r="G151" s="40">
        <f>('[4]15_16 fleet'!$D40+'[4]15_16 fleet'!$D55)*'Light Vehicle Supporting Data'!G$164</f>
        <v>150.03042287800423</v>
      </c>
      <c r="H151" s="40">
        <f>('[5]16_17 fleet_v2'!$D40+'[5]16_17 fleet_v2'!$D55)*'Light Vehicle Supporting Data'!H$164</f>
        <v>136.02628527251642</v>
      </c>
      <c r="I151" s="43">
        <f>('[6]17_18 fleet_v3'!$D41+'[6]17_18 fleet_v3'!$D56)*'Light Vehicle Supporting Data'!I$164</f>
        <v>150.01854714064913</v>
      </c>
      <c r="J151" s="43">
        <f ca="1">$I151*(J131/$I131)</f>
        <v>176.15315801767716</v>
      </c>
      <c r="K151" s="43">
        <f t="shared" ref="K151:Q151" ca="1" si="53">$I151*(K131/$I131)</f>
        <v>4465.5408489257416</v>
      </c>
      <c r="L151" s="43">
        <f t="shared" ca="1" si="53"/>
        <v>9061.5228815073115</v>
      </c>
      <c r="M151" s="43">
        <f t="shared" ca="1" si="53"/>
        <v>13811.965066038594</v>
      </c>
      <c r="N151" s="43">
        <f t="shared" ca="1" si="53"/>
        <v>18666.387273845383</v>
      </c>
      <c r="O151" s="53">
        <f t="shared" ca="1" si="53"/>
        <v>23621.226489059747</v>
      </c>
      <c r="P151" s="53">
        <f t="shared" ca="1" si="53"/>
        <v>28638.270379952126</v>
      </c>
      <c r="Q151" s="54">
        <f t="shared" ca="1" si="53"/>
        <v>33713.003046337239</v>
      </c>
      <c r="R151" s="56"/>
    </row>
    <row r="152" spans="3:18" ht="15.5" x14ac:dyDescent="0.35">
      <c r="C152" s="24" t="s">
        <v>1</v>
      </c>
      <c r="D152" s="42">
        <f>('[1]12_13 fleet'!$D40+'[1]12_13 fleet'!$D55)*'Light Vehicle Supporting Data'!D$164</f>
        <v>3589.9189604404046</v>
      </c>
      <c r="E152" s="43">
        <f>('[2]13_14 fleet'!$D41+'[2]13_14 fleet'!$D56)*'Light Vehicle Supporting Data'!E$164</f>
        <v>3696.9314516129034</v>
      </c>
      <c r="F152" s="43">
        <f>('[3]14_15 fleet'!$D41+'[3]14_15 fleet'!$D56)*'Light Vehicle Supporting Data'!F$164</f>
        <v>4125.9719604147031</v>
      </c>
      <c r="G152" s="43">
        <f>('[4]15_16 fleet'!$D41+'[4]15_16 fleet'!$D56)*'Light Vehicle Supporting Data'!G$164</f>
        <v>5169.0481695568396</v>
      </c>
      <c r="H152" s="43">
        <f>('[5]16_17 fleet_v2'!$D41+'[5]16_17 fleet_v2'!$D56)*'Light Vehicle Supporting Data'!H$164</f>
        <v>5343.0324700425199</v>
      </c>
      <c r="I152" s="43">
        <f>('[6]17_18 fleet_v3'!$D42+'[6]17_18 fleet_v3'!$D57)*'Light Vehicle Supporting Data'!I$164</f>
        <v>8707.0764760432758</v>
      </c>
      <c r="J152" s="43">
        <f t="shared" ref="J152:Q152" ca="1" si="54">$I152*(J132/$I132)</f>
        <v>10404.181012226489</v>
      </c>
      <c r="K152" s="43">
        <f t="shared" ca="1" si="54"/>
        <v>45717.276196636813</v>
      </c>
      <c r="L152" s="43">
        <f t="shared" ca="1" si="54"/>
        <v>84340.795429859223</v>
      </c>
      <c r="M152" s="43">
        <f t="shared" ca="1" si="54"/>
        <v>125218.53761014287</v>
      </c>
      <c r="N152" s="43">
        <f t="shared" ca="1" si="54"/>
        <v>168260.76252853087</v>
      </c>
      <c r="O152" s="56">
        <f t="shared" ca="1" si="54"/>
        <v>213367.09999579325</v>
      </c>
      <c r="P152" s="56">
        <f t="shared" ca="1" si="54"/>
        <v>260295.43781167423</v>
      </c>
      <c r="Q152" s="57">
        <f t="shared" ca="1" si="54"/>
        <v>308947.79101229162</v>
      </c>
      <c r="R152" s="56"/>
    </row>
    <row r="153" spans="3:18" ht="15.5" x14ac:dyDescent="0.35">
      <c r="C153" s="24" t="s">
        <v>2</v>
      </c>
      <c r="D153" s="42">
        <f>('[1]12_13 fleet'!$D41+'[1]12_13 fleet'!$D56)*'Light Vehicle Supporting Data'!D$164</f>
        <v>342.0875688132121</v>
      </c>
      <c r="E153" s="43">
        <f>('[2]13_14 fleet'!$D42+'[2]13_14 fleet'!$D57)*'Light Vehicle Supporting Data'!E$164</f>
        <v>329.08291330645159</v>
      </c>
      <c r="F153" s="43">
        <f>('[3]14_15 fleet'!$D42+'[3]14_15 fleet'!$D57)*'Light Vehicle Supporting Data'!F$164</f>
        <v>330.07775683317624</v>
      </c>
      <c r="G153" s="43">
        <f>('[4]15_16 fleet'!$D42+'[4]15_16 fleet'!$D57)*'Light Vehicle Supporting Data'!G$164</f>
        <v>360.07301490721017</v>
      </c>
      <c r="H153" s="43">
        <f>('[5]16_17 fleet_v2'!$D42+'[5]16_17 fleet_v2'!$D57)*'Light Vehicle Supporting Data'!H$164</f>
        <v>428.08272129880169</v>
      </c>
      <c r="I153" s="43">
        <f>('[6]17_18 fleet_v3'!$D43+'[6]17_18 fleet_v3'!$D58)*'Light Vehicle Supporting Data'!I$164</f>
        <v>622.07690880989173</v>
      </c>
      <c r="J153" s="43">
        <f t="shared" ref="J153:Q153" ca="1" si="55">$I153*(J133/$I133)</f>
        <v>731.09607172779647</v>
      </c>
      <c r="K153" s="43">
        <f t="shared" ca="1" si="55"/>
        <v>14471.540625747046</v>
      </c>
      <c r="L153" s="43">
        <f t="shared" ca="1" si="55"/>
        <v>29265.642153773169</v>
      </c>
      <c r="M153" s="43">
        <f t="shared" ca="1" si="55"/>
        <v>44624.65126374879</v>
      </c>
      <c r="N153" s="43">
        <f t="shared" ca="1" si="55"/>
        <v>60436.043479316846</v>
      </c>
      <c r="O153" s="56">
        <f t="shared" ca="1" si="55"/>
        <v>76652.080040702655</v>
      </c>
      <c r="P153" s="56">
        <f t="shared" ca="1" si="55"/>
        <v>93120.890812228434</v>
      </c>
      <c r="Q153" s="57">
        <f t="shared" ca="1" si="55"/>
        <v>109805.30258618876</v>
      </c>
      <c r="R153" s="56"/>
    </row>
    <row r="154" spans="3:18" ht="15.5" x14ac:dyDescent="0.35">
      <c r="C154" s="24" t="s">
        <v>3</v>
      </c>
      <c r="D154" s="42">
        <f>('[1]12_13 fleet'!$D42+'[1]12_13 fleet'!$D57)*'Light Vehicle Supporting Data'!D$164</f>
        <v>316.08091153501471</v>
      </c>
      <c r="E154" s="43">
        <f>('[2]13_14 fleet'!$D43+'[2]13_14 fleet'!$D58)*'Light Vehicle Supporting Data'!E$164</f>
        <v>288.07258064516128</v>
      </c>
      <c r="F154" s="43">
        <f>('[3]14_15 fleet'!$D43+'[3]14_15 fleet'!$D58)*'Light Vehicle Supporting Data'!F$164</f>
        <v>297.06998114985862</v>
      </c>
      <c r="G154" s="43">
        <f>('[4]15_16 fleet'!$D43+'[4]15_16 fleet'!$D58)*'Light Vehicle Supporting Data'!G$164</f>
        <v>313.06348240543554</v>
      </c>
      <c r="H154" s="43">
        <f>('[5]16_17 fleet_v2'!$D43+'[5]16_17 fleet_v2'!$D58)*'Light Vehicle Supporting Data'!H$164</f>
        <v>347.0670660997294</v>
      </c>
      <c r="I154" s="43">
        <f>('[6]17_18 fleet_v3'!$D44+'[6]17_18 fleet_v3'!$D59)*'Light Vehicle Supporting Data'!I$164</f>
        <v>521.0644204018547</v>
      </c>
      <c r="J154" s="43">
        <f t="shared" ref="J154:Q154" ca="1" si="56">$I154*(J134/$I134)</f>
        <v>609.49678157781852</v>
      </c>
      <c r="K154" s="43">
        <f t="shared" ca="1" si="56"/>
        <v>9801.3985017889518</v>
      </c>
      <c r="L154" s="43">
        <f t="shared" ca="1" si="56"/>
        <v>19560.061008388457</v>
      </c>
      <c r="M154" s="43">
        <f t="shared" ca="1" si="56"/>
        <v>29543.695716296261</v>
      </c>
      <c r="N154" s="43">
        <f t="shared" ca="1" si="56"/>
        <v>39682.422481997208</v>
      </c>
      <c r="O154" s="56">
        <f t="shared" ca="1" si="56"/>
        <v>49928.58712060751</v>
      </c>
      <c r="P154" s="56">
        <f t="shared" ca="1" si="56"/>
        <v>60183.771759316478</v>
      </c>
      <c r="Q154" s="57">
        <f t="shared" ca="1" si="56"/>
        <v>70420.972369737457</v>
      </c>
      <c r="R154" s="56"/>
    </row>
    <row r="155" spans="3:18" ht="15.5" x14ac:dyDescent="0.35">
      <c r="C155" s="24" t="s">
        <v>4</v>
      </c>
      <c r="D155" s="42">
        <f>('[1]12_13 fleet'!$D43+'[1]12_13 fleet'!$D58)*'Light Vehicle Supporting Data'!D$164</f>
        <v>41.010498015619</v>
      </c>
      <c r="E155" s="43">
        <f>('[2]13_14 fleet'!$D44+'[2]13_14 fleet'!$D59)*'Light Vehicle Supporting Data'!E$164</f>
        <v>44.011088709677416</v>
      </c>
      <c r="F155" s="43">
        <f>('[3]14_15 fleet'!$D44+'[3]14_15 fleet'!$D59)*'Light Vehicle Supporting Data'!F$164</f>
        <v>38.008953817153632</v>
      </c>
      <c r="G155" s="43">
        <f>('[4]15_16 fleet'!$D44+'[4]15_16 fleet'!$D59)*'Light Vehicle Supporting Data'!G$164</f>
        <v>36.007301490721019</v>
      </c>
      <c r="H155" s="43">
        <f>('[5]16_17 fleet_v2'!$D44+'[5]16_17 fleet_v2'!$D59)*'Light Vehicle Supporting Data'!H$164</f>
        <v>37.007151140316964</v>
      </c>
      <c r="I155" s="43">
        <f>('[6]17_18 fleet_v3'!$D45+'[6]17_18 fleet_v3'!$D60)*'Light Vehicle Supporting Data'!I$164</f>
        <v>36.004451313755794</v>
      </c>
      <c r="J155" s="43">
        <f t="shared" ref="J155:Q155" ca="1" si="57">$I155*(J135/$I135)</f>
        <v>41.422688148078961</v>
      </c>
      <c r="K155" s="43">
        <f t="shared" ca="1" si="57"/>
        <v>789.42283944104111</v>
      </c>
      <c r="L155" s="43">
        <f t="shared" ca="1" si="57"/>
        <v>1554.0814526116642</v>
      </c>
      <c r="M155" s="43">
        <f t="shared" ca="1" si="57"/>
        <v>2305.0670049044734</v>
      </c>
      <c r="N155" s="43">
        <f t="shared" ca="1" si="57"/>
        <v>3039.4899358138059</v>
      </c>
      <c r="O155" s="56">
        <f t="shared" ca="1" si="57"/>
        <v>3756.19935168957</v>
      </c>
      <c r="P155" s="56">
        <f t="shared" ca="1" si="57"/>
        <v>4446.7530850819603</v>
      </c>
      <c r="Q155" s="57">
        <f t="shared" ca="1" si="57"/>
        <v>5110.2363571857331</v>
      </c>
      <c r="R155" s="56"/>
    </row>
    <row r="156" spans="3:18" ht="15.5" x14ac:dyDescent="0.35">
      <c r="C156" s="24" t="s">
        <v>5</v>
      </c>
      <c r="D156" s="42">
        <f>('[1]12_13 fleet'!$D44+'[1]12_13 fleet'!$D59)*'Light Vehicle Supporting Data'!D$164</f>
        <v>173.04429650492895</v>
      </c>
      <c r="E156" s="43">
        <f>('[2]13_14 fleet'!$D45+'[2]13_14 fleet'!$D60)*'Light Vehicle Supporting Data'!E$164</f>
        <v>178.04485887096774</v>
      </c>
      <c r="F156" s="43">
        <f>('[3]14_15 fleet'!$D45+'[3]14_15 fleet'!$D60)*'Light Vehicle Supporting Data'!F$164</f>
        <v>183.04311969839773</v>
      </c>
      <c r="G156" s="43">
        <f>('[4]15_16 fleet'!$D45+'[4]15_16 fleet'!$D60)*'Light Vehicle Supporting Data'!G$164</f>
        <v>206.04178075245918</v>
      </c>
      <c r="H156" s="43">
        <f>('[5]16_17 fleet_v2'!$D45+'[5]16_17 fleet_v2'!$D60)*'Light Vehicle Supporting Data'!H$164</f>
        <v>253.04889833784304</v>
      </c>
      <c r="I156" s="43">
        <f>('[6]17_18 fleet_v3'!$D46+'[6]17_18 fleet_v3'!$D61)*'Light Vehicle Supporting Data'!I$164</f>
        <v>243.03004636785161</v>
      </c>
      <c r="J156" s="43">
        <f t="shared" ref="J156:Q156" ca="1" si="58">$I156*(J136/$I136)</f>
        <v>284.00149754466116</v>
      </c>
      <c r="K156" s="43">
        <f t="shared" ca="1" si="58"/>
        <v>4034.2939568744191</v>
      </c>
      <c r="L156" s="43">
        <f t="shared" ca="1" si="58"/>
        <v>8016.3115378990551</v>
      </c>
      <c r="M156" s="43">
        <f t="shared" ca="1" si="58"/>
        <v>12101.821714209178</v>
      </c>
      <c r="N156" s="43">
        <f t="shared" ca="1" si="58"/>
        <v>16276.809964017619</v>
      </c>
      <c r="O156" s="56">
        <f t="shared" ca="1" si="58"/>
        <v>20534.555875217815</v>
      </c>
      <c r="P156" s="56">
        <f t="shared" ca="1" si="58"/>
        <v>24841.450022550503</v>
      </c>
      <c r="Q156" s="57">
        <f t="shared" ca="1" si="58"/>
        <v>29196.39549696253</v>
      </c>
      <c r="R156" s="56"/>
    </row>
    <row r="157" spans="3:18" ht="15.5" x14ac:dyDescent="0.35">
      <c r="C157" s="24" t="s">
        <v>6</v>
      </c>
      <c r="D157" s="42">
        <f>('[1]12_13 fleet'!$D45+'[1]12_13 fleet'!$D60)*'Light Vehicle Supporting Data'!D$164</f>
        <v>83.021252080399435</v>
      </c>
      <c r="E157" s="43">
        <f>('[2]13_14 fleet'!$D46+'[2]13_14 fleet'!$D61)*'Light Vehicle Supporting Data'!E$164</f>
        <v>89.022429435483872</v>
      </c>
      <c r="F157" s="43">
        <f>('[3]14_15 fleet'!$D46+'[3]14_15 fleet'!$D61)*'Light Vehicle Supporting Data'!F$164</f>
        <v>86.020263901979263</v>
      </c>
      <c r="G157" s="43">
        <f>('[4]15_16 fleet'!$D46+'[4]15_16 fleet'!$D61)*'Light Vehicle Supporting Data'!G$164</f>
        <v>82.01663117330898</v>
      </c>
      <c r="H157" s="43">
        <f>('[5]16_17 fleet_v2'!$D46+'[5]16_17 fleet_v2'!$D61)*'Light Vehicle Supporting Data'!H$164</f>
        <v>92.017781213761111</v>
      </c>
      <c r="I157" s="43">
        <f>('[6]17_18 fleet_v3'!$D47+'[6]17_18 fleet_v3'!$D62)*'Light Vehicle Supporting Data'!I$164</f>
        <v>93.011499227202464</v>
      </c>
      <c r="J157" s="43">
        <f t="shared" ref="J157:Q157" ca="1" si="59">$I157*(J137/$I137)</f>
        <v>109.3727413592776</v>
      </c>
      <c r="K157" s="43">
        <f t="shared" ca="1" si="59"/>
        <v>2233.5196250251597</v>
      </c>
      <c r="L157" s="43">
        <f t="shared" ca="1" si="59"/>
        <v>4526.8966877306239</v>
      </c>
      <c r="M157" s="43">
        <f t="shared" ca="1" si="59"/>
        <v>6921.6283240688344</v>
      </c>
      <c r="N157" s="43">
        <f t="shared" ca="1" si="59"/>
        <v>9409.3035308102408</v>
      </c>
      <c r="O157" s="56">
        <f t="shared" ca="1" si="59"/>
        <v>11984.338355697837</v>
      </c>
      <c r="P157" s="56">
        <f t="shared" ca="1" si="59"/>
        <v>14627.529223202346</v>
      </c>
      <c r="Q157" s="57">
        <f t="shared" ca="1" si="59"/>
        <v>17337.727508332515</v>
      </c>
      <c r="R157" s="56"/>
    </row>
    <row r="158" spans="3:18" ht="15.5" x14ac:dyDescent="0.35">
      <c r="C158" s="24" t="s">
        <v>7</v>
      </c>
      <c r="D158" s="42">
        <f>('[1]12_13 fleet'!$D46+'[1]12_13 fleet'!$D61)*'Light Vehicle Supporting Data'!D$164</f>
        <v>156.03994366918448</v>
      </c>
      <c r="E158" s="43">
        <f>('[2]13_14 fleet'!$D47+'[2]13_14 fleet'!$D62)*'Light Vehicle Supporting Data'!E$164</f>
        <v>150.03780241935485</v>
      </c>
      <c r="F158" s="43">
        <f>('[3]14_15 fleet'!$D47+'[3]14_15 fleet'!$D62)*'Light Vehicle Supporting Data'!F$164</f>
        <v>149.03510838831292</v>
      </c>
      <c r="G158" s="43">
        <f>('[4]15_16 fleet'!$D47+'[4]15_16 fleet'!$D62)*'Light Vehicle Supporting Data'!G$164</f>
        <v>159.03224825068449</v>
      </c>
      <c r="H158" s="43">
        <f>('[5]16_17 fleet_v2'!$D47+'[5]16_17 fleet_v2'!$D62)*'Light Vehicle Supporting Data'!H$164</f>
        <v>168.03247004252029</v>
      </c>
      <c r="I158" s="43">
        <f>('[6]17_18 fleet_v3'!$D48+'[6]17_18 fleet_v3'!$D63)*'Light Vehicle Supporting Data'!I$164</f>
        <v>204.02522411128282</v>
      </c>
      <c r="J158" s="43">
        <f t="shared" ref="J158:Q158" ca="1" si="60">$I158*(J138/$I138)</f>
        <v>236.29908209859755</v>
      </c>
      <c r="K158" s="43">
        <f t="shared" ca="1" si="60"/>
        <v>5176.1782785343103</v>
      </c>
      <c r="L158" s="43">
        <f t="shared" ca="1" si="60"/>
        <v>10321.865680818397</v>
      </c>
      <c r="M158" s="43">
        <f t="shared" ca="1" si="60"/>
        <v>15497.877715748353</v>
      </c>
      <c r="N158" s="43">
        <f t="shared" ca="1" si="60"/>
        <v>20657.635605603227</v>
      </c>
      <c r="O158" s="56">
        <f t="shared" ca="1" si="60"/>
        <v>25806.487531881925</v>
      </c>
      <c r="P158" s="56">
        <f t="shared" ca="1" si="60"/>
        <v>30895.88537579797</v>
      </c>
      <c r="Q158" s="57">
        <f t="shared" ca="1" si="60"/>
        <v>35924.044124268024</v>
      </c>
      <c r="R158" s="56"/>
    </row>
    <row r="159" spans="3:18" ht="15.5" x14ac:dyDescent="0.35">
      <c r="C159" s="24" t="s">
        <v>8</v>
      </c>
      <c r="D159" s="42">
        <f>('[1]12_13 fleet'!$D47+'[1]12_13 fleet'!$D62)*'Light Vehicle Supporting Data'!D$164</f>
        <v>1306.3344002048393</v>
      </c>
      <c r="E159" s="43">
        <f>('[2]13_14 fleet'!$D48+'[2]13_14 fleet'!$D63)*'Light Vehicle Supporting Data'!E$164</f>
        <v>1327.3344254032259</v>
      </c>
      <c r="F159" s="43">
        <f>('[3]14_15 fleet'!$D48+'[3]14_15 fleet'!$D63)*'Light Vehicle Supporting Data'!F$164</f>
        <v>1370.3228086710651</v>
      </c>
      <c r="G159" s="43">
        <f>('[4]15_16 fleet'!$D48+'[4]15_16 fleet'!$D63)*'Light Vehicle Supporting Data'!G$164</f>
        <v>1575.3194402190445</v>
      </c>
      <c r="H159" s="43">
        <f>('[5]16_17 fleet_v2'!$D48+'[5]16_17 fleet_v2'!$D63)*'Light Vehicle Supporting Data'!H$164</f>
        <v>1555.3005411673753</v>
      </c>
      <c r="I159" s="43">
        <f>('[6]17_18 fleet_v3'!$D49+'[6]17_18 fleet_v3'!$D64)*'Light Vehicle Supporting Data'!I$164</f>
        <v>2543.3144358578052</v>
      </c>
      <c r="J159" s="43">
        <f t="shared" ref="J159:Q159" ca="1" si="61">$I159*(J139/$I139)</f>
        <v>2998.8834925784931</v>
      </c>
      <c r="K159" s="43">
        <f t="shared" ca="1" si="61"/>
        <v>13122.856482925394</v>
      </c>
      <c r="L159" s="43">
        <f t="shared" ca="1" si="61"/>
        <v>24035.480383699127</v>
      </c>
      <c r="M159" s="43">
        <f t="shared" ca="1" si="61"/>
        <v>35417.26164105811</v>
      </c>
      <c r="N159" s="43">
        <f t="shared" ca="1" si="61"/>
        <v>47220.745027450474</v>
      </c>
      <c r="O159" s="56">
        <f t="shared" ca="1" si="61"/>
        <v>59411.51550169017</v>
      </c>
      <c r="P159" s="56">
        <f t="shared" ca="1" si="61"/>
        <v>71918.428169081599</v>
      </c>
      <c r="Q159" s="57">
        <f t="shared" ca="1" si="61"/>
        <v>84730.199037439277</v>
      </c>
      <c r="R159" s="56"/>
    </row>
    <row r="160" spans="3:18" ht="15.5" x14ac:dyDescent="0.35">
      <c r="C160" s="24" t="s">
        <v>9</v>
      </c>
      <c r="D160" s="42">
        <f>('[1]12_13 fleet'!$D48+'[1]12_13 fleet'!$D63)*'Light Vehicle Supporting Data'!D$164</f>
        <v>166.04250416079887</v>
      </c>
      <c r="E160" s="43">
        <f>('[2]13_14 fleet'!$D49+'[2]13_14 fleet'!$D64)*'Light Vehicle Supporting Data'!E$164</f>
        <v>146.03679435483872</v>
      </c>
      <c r="F160" s="43">
        <f>('[3]14_15 fleet'!$D49+'[3]14_15 fleet'!$D64)*'Light Vehicle Supporting Data'!F$164</f>
        <v>150.03534401508011</v>
      </c>
      <c r="G160" s="43">
        <f>('[4]15_16 fleet'!$D49+'[4]15_16 fleet'!$D64)*'Light Vehicle Supporting Data'!G$164</f>
        <v>154.03123415475102</v>
      </c>
      <c r="H160" s="43">
        <f>('[5]16_17 fleet_v2'!$D49+'[5]16_17 fleet_v2'!$D64)*'Light Vehicle Supporting Data'!H$164</f>
        <v>183.03536915345958</v>
      </c>
      <c r="I160" s="43">
        <f>('[6]17_18 fleet_v3'!$D50+'[6]17_18 fleet_v3'!$D65)*'Light Vehicle Supporting Data'!I$164</f>
        <v>213.02633693972177</v>
      </c>
      <c r="J160" s="43">
        <f t="shared" ref="J160:Q160" ca="1" si="62">$I160*(J140/$I140)</f>
        <v>246.57225040439411</v>
      </c>
      <c r="K160" s="43">
        <f t="shared" ca="1" si="62"/>
        <v>4413.1545932078916</v>
      </c>
      <c r="L160" s="43">
        <f t="shared" ca="1" si="62"/>
        <v>8751.8547174882078</v>
      </c>
      <c r="M160" s="43">
        <f t="shared" ca="1" si="62"/>
        <v>13106.88127892269</v>
      </c>
      <c r="N160" s="43">
        <f t="shared" ca="1" si="62"/>
        <v>17417.882272367253</v>
      </c>
      <c r="O160" s="56">
        <f t="shared" ca="1" si="62"/>
        <v>21690.727895888864</v>
      </c>
      <c r="P160" s="56">
        <f t="shared" ca="1" si="62"/>
        <v>25878.99826585727</v>
      </c>
      <c r="Q160" s="57">
        <f t="shared" ca="1" si="62"/>
        <v>29974.973815547517</v>
      </c>
      <c r="R160" s="56"/>
    </row>
    <row r="161" spans="3:18" ht="15.5" x14ac:dyDescent="0.35">
      <c r="C161" s="24" t="s">
        <v>10</v>
      </c>
      <c r="D161" s="42">
        <f>('[1]12_13 fleet'!$D49+'[1]12_13 fleet'!$D64)*'Light Vehicle Supporting Data'!D$164</f>
        <v>29.007425425681731</v>
      </c>
      <c r="E161" s="43">
        <f>('[2]13_14 fleet'!$D50+'[2]13_14 fleet'!$D65)*'Light Vehicle Supporting Data'!E$164</f>
        <v>27.006804435483872</v>
      </c>
      <c r="F161" s="43">
        <f>('[3]14_15 fleet'!$D50+'[3]14_15 fleet'!$D65)*'Light Vehicle Supporting Data'!F$164</f>
        <v>29.006833176248822</v>
      </c>
      <c r="G161" s="43">
        <f>('[4]15_16 fleet'!$D50+'[4]15_16 fleet'!$D65)*'Light Vehicle Supporting Data'!G$164</f>
        <v>32.006490213974239</v>
      </c>
      <c r="H161" s="43">
        <f>('[5]16_17 fleet_v2'!$D50+'[5]16_17 fleet_v2'!$D65)*'Light Vehicle Supporting Data'!H$164</f>
        <v>35.006764592191722</v>
      </c>
      <c r="I161" s="43">
        <f>('[6]17_18 fleet_v3'!$D51+'[6]17_18 fleet_v3'!$D66)*'Light Vehicle Supporting Data'!I$164</f>
        <v>34.004204018547135</v>
      </c>
      <c r="J161" s="43">
        <f t="shared" ref="J161:Q161" ca="1" si="63">$I161*(J141/$I141)</f>
        <v>38.641396420169116</v>
      </c>
      <c r="K161" s="43">
        <f t="shared" ca="1" si="63"/>
        <v>771.55640704163113</v>
      </c>
      <c r="L161" s="43">
        <f t="shared" ca="1" si="63"/>
        <v>1494.4405466020321</v>
      </c>
      <c r="M161" s="43">
        <f t="shared" ca="1" si="63"/>
        <v>2181.6369572961112</v>
      </c>
      <c r="N161" s="43">
        <f t="shared" ca="1" si="63"/>
        <v>2831.652569022272</v>
      </c>
      <c r="O161" s="56">
        <f t="shared" ca="1" si="63"/>
        <v>3442.6138178451483</v>
      </c>
      <c r="P161" s="56">
        <f t="shared" ca="1" si="63"/>
        <v>4009.2426201759126</v>
      </c>
      <c r="Q161" s="57">
        <f t="shared" ca="1" si="63"/>
        <v>4532.4514623056639</v>
      </c>
      <c r="R161" s="56"/>
    </row>
    <row r="162" spans="3:18" ht="15.5" x14ac:dyDescent="0.35">
      <c r="C162" s="24" t="s">
        <v>11</v>
      </c>
      <c r="D162" s="42">
        <f>('[1]12_13 fleet'!$D50+'[1]12_13 fleet'!$D65)*'Light Vehicle Supporting Data'!D$164</f>
        <v>913.23377288439372</v>
      </c>
      <c r="E162" s="43">
        <f>('[2]13_14 fleet'!$D51+'[2]13_14 fleet'!$D66)*'Light Vehicle Supporting Data'!E$164</f>
        <v>938.2363911290322</v>
      </c>
      <c r="F162" s="43">
        <f>('[3]14_15 fleet'!$D51+'[3]14_15 fleet'!$D66)*'Light Vehicle Supporting Data'!F$164</f>
        <v>991.23350612629599</v>
      </c>
      <c r="G162" s="43">
        <f>('[4]15_16 fleet'!$D51+'[4]15_16 fleet'!$D66)*'Light Vehicle Supporting Data'!G$164</f>
        <v>1010.2048473785619</v>
      </c>
      <c r="H162" s="43">
        <f>('[5]16_17 fleet_v2'!$D51+'[5]16_17 fleet_v2'!$D66)*'Light Vehicle Supporting Data'!H$164</f>
        <v>1099.2124081948202</v>
      </c>
      <c r="I162" s="43">
        <f>('[6]17_18 fleet_v3'!$D52+'[6]17_18 fleet_v3'!$D67)*'Light Vehicle Supporting Data'!I$164</f>
        <v>2002.2475425038638</v>
      </c>
      <c r="J162" s="43">
        <f t="shared" ref="J162:Q162" ca="1" si="64">$I162*(J142/$I142)</f>
        <v>2388.2413779287454</v>
      </c>
      <c r="K162" s="43">
        <f t="shared" ca="1" si="64"/>
        <v>21563.913239417088</v>
      </c>
      <c r="L162" s="43">
        <f t="shared" ca="1" si="64"/>
        <v>42779.618243925266</v>
      </c>
      <c r="M162" s="43">
        <f t="shared" ca="1" si="64"/>
        <v>65445.186231546599</v>
      </c>
      <c r="N162" s="43">
        <f t="shared" ca="1" si="64"/>
        <v>89463.357175024619</v>
      </c>
      <c r="O162" s="56">
        <f t="shared" ca="1" si="64"/>
        <v>114926.31118475586</v>
      </c>
      <c r="P162" s="56">
        <f t="shared" ca="1" si="64"/>
        <v>141624.17421102026</v>
      </c>
      <c r="Q162" s="57">
        <f t="shared" ca="1" si="64"/>
        <v>169554.0437190794</v>
      </c>
      <c r="R162" s="56"/>
    </row>
    <row r="163" spans="3:18" ht="15.5" x14ac:dyDescent="0.35">
      <c r="C163" s="24" t="s">
        <v>12</v>
      </c>
      <c r="D163" s="42">
        <f>('[1]12_13 fleet'!$D51+'[1]12_13 fleet'!$D66)*'Light Vehicle Supporting Data'!D$164</f>
        <v>478.1223914991678</v>
      </c>
      <c r="E163" s="43">
        <f>('[2]13_14 fleet'!$D52+'[2]13_14 fleet'!$D67)*'Light Vehicle Supporting Data'!E$164</f>
        <v>486.12247983870969</v>
      </c>
      <c r="F163" s="43">
        <f>('[3]14_15 fleet'!$D52+'[3]14_15 fleet'!$D67)*'Light Vehicle Supporting Data'!F$164</f>
        <v>502.11828463713482</v>
      </c>
      <c r="G163" s="43">
        <f>('[4]15_16 fleet'!$D52+'[4]15_16 fleet'!$D67)*'Light Vehicle Supporting Data'!G$164</f>
        <v>515.10445188114795</v>
      </c>
      <c r="H163" s="43">
        <f>('[5]16_17 fleet_v2'!$D52+'[5]16_17 fleet_v2'!$D67)*'Light Vehicle Supporting Data'!H$164</f>
        <v>573.11074603788165</v>
      </c>
      <c r="I163" s="43">
        <f>('[6]17_18 fleet_v3'!$D53+'[6]17_18 fleet_v3'!$D68)*'Light Vehicle Supporting Data'!I$164</f>
        <v>698.08630602782068</v>
      </c>
      <c r="J163" s="43">
        <f t="shared" ref="J163:Q163" ca="1" si="65">$I163*(J143/$I143)</f>
        <v>832.01667787605959</v>
      </c>
      <c r="K163" s="43">
        <f t="shared" ca="1" si="65"/>
        <v>8688.9841531292259</v>
      </c>
      <c r="L163" s="43">
        <f t="shared" ca="1" si="65"/>
        <v>17316.80709430483</v>
      </c>
      <c r="M163" s="43">
        <f t="shared" ca="1" si="65"/>
        <v>26455.26084777325</v>
      </c>
      <c r="N163" s="43">
        <f t="shared" ca="1" si="65"/>
        <v>36071.837915638898</v>
      </c>
      <c r="O163" s="56">
        <f t="shared" ca="1" si="65"/>
        <v>46164.637046365635</v>
      </c>
      <c r="P163" s="56">
        <f t="shared" ca="1" si="65"/>
        <v>56653.476036053362</v>
      </c>
      <c r="Q163" s="57">
        <f t="shared" ca="1" si="65"/>
        <v>67529.899126181583</v>
      </c>
      <c r="R163" s="56"/>
    </row>
    <row r="164" spans="3:18" ht="16" thickBot="1" x14ac:dyDescent="0.4">
      <c r="C164" s="25" t="s">
        <v>13</v>
      </c>
      <c r="D164" s="45">
        <f>('[1]12_13 fleet'!$D52+'[1]12_13 fleet'!$D67)*'Light Vehicle Supporting Data'!D$164</f>
        <v>96.024580719498147</v>
      </c>
      <c r="E164" s="46">
        <f>('[2]13_14 fleet'!$D53+'[2]13_14 fleet'!$D68)*'Light Vehicle Supporting Data'!E$164</f>
        <v>95.023941532258064</v>
      </c>
      <c r="F164" s="46">
        <f>('[3]14_15 fleet'!$D53+'[3]14_15 fleet'!$D68)*'Light Vehicle Supporting Data'!F$164</f>
        <v>97.022855796418483</v>
      </c>
      <c r="G164" s="46">
        <f>('[4]15_16 fleet'!$D53+'[4]15_16 fleet'!$D68)*'Light Vehicle Supporting Data'!G$164</f>
        <v>101.02048473785619</v>
      </c>
      <c r="H164" s="46">
        <f>('[5]16_17 fleet_v2'!$D53+'[5]16_17 fleet_v2'!$D68)*'Light Vehicle Supporting Data'!H$164</f>
        <v>100.01932740626206</v>
      </c>
      <c r="I164" s="46">
        <f>('[6]17_18 fleet_v3'!$D54+'[6]17_18 fleet_v3'!$D69)*'Light Vehicle Supporting Data'!I$164</f>
        <v>110.01360123647603</v>
      </c>
      <c r="J164" s="46">
        <f t="shared" ref="J164:Q164" ca="1" si="66">$I164*(J144/$I144)</f>
        <v>125.65122914478648</v>
      </c>
      <c r="K164" s="46">
        <f t="shared" ca="1" si="66"/>
        <v>2743.9462848571525</v>
      </c>
      <c r="L164" s="46">
        <f t="shared" ca="1" si="66"/>
        <v>5391.1379843513359</v>
      </c>
      <c r="M164" s="46">
        <f t="shared" ca="1" si="66"/>
        <v>7977.1218649931561</v>
      </c>
      <c r="N164" s="46">
        <f t="shared" ca="1" si="66"/>
        <v>10486.235463658009</v>
      </c>
      <c r="O164" s="59">
        <f t="shared" ca="1" si="66"/>
        <v>12911.433011100702</v>
      </c>
      <c r="P164" s="59">
        <f t="shared" ca="1" si="66"/>
        <v>15226.961879512415</v>
      </c>
      <c r="Q164" s="60">
        <f t="shared" ca="1" si="66"/>
        <v>17430.900989063481</v>
      </c>
      <c r="R164" s="56"/>
    </row>
    <row r="165" spans="3:18" ht="16.5" thickTop="1" thickBot="1" x14ac:dyDescent="0.4">
      <c r="C165" s="20" t="s">
        <v>24</v>
      </c>
      <c r="D165" s="48">
        <f t="shared" ref="D165:Q165" si="67">SUM(D151:D164)</f>
        <v>7813</v>
      </c>
      <c r="E165" s="48">
        <f t="shared" si="67"/>
        <v>7938.0000000000009</v>
      </c>
      <c r="F165" s="48">
        <f t="shared" si="67"/>
        <v>8490</v>
      </c>
      <c r="G165" s="48">
        <f t="shared" si="67"/>
        <v>9863</v>
      </c>
      <c r="H165" s="48">
        <f t="shared" si="67"/>
        <v>10350</v>
      </c>
      <c r="I165" s="48">
        <f t="shared" si="67"/>
        <v>16177.000000000002</v>
      </c>
      <c r="J165" s="48">
        <f t="shared" ca="1" si="67"/>
        <v>19222.029457053046</v>
      </c>
      <c r="K165" s="48">
        <f t="shared" ca="1" si="67"/>
        <v>137993.58203355185</v>
      </c>
      <c r="L165" s="48">
        <f t="shared" ca="1" si="67"/>
        <v>266416.51580295863</v>
      </c>
      <c r="M165" s="48">
        <f t="shared" ca="1" si="67"/>
        <v>400608.59323674731</v>
      </c>
      <c r="N165" s="48">
        <f t="shared" ca="1" si="67"/>
        <v>539920.56522309675</v>
      </c>
      <c r="O165" s="62">
        <f t="shared" ca="1" si="67"/>
        <v>684197.81321829662</v>
      </c>
      <c r="P165" s="62">
        <f t="shared" ca="1" si="67"/>
        <v>832361.26965150493</v>
      </c>
      <c r="Q165" s="63">
        <f t="shared" ca="1" si="67"/>
        <v>984207.94065092073</v>
      </c>
      <c r="R165" s="43"/>
    </row>
    <row r="166" spans="3:18" ht="16.5" thickTop="1" thickBot="1" x14ac:dyDescent="0.4">
      <c r="C166" s="31" t="s">
        <v>96</v>
      </c>
      <c r="D166" s="48">
        <f>SUM('[1]12_13 fleet'!$D$38:$D$67)</f>
        <v>7813</v>
      </c>
      <c r="E166" s="48">
        <f>SUM('[2]13_14 fleet'!$D$39:$D$68)</f>
        <v>7938</v>
      </c>
      <c r="F166" s="48">
        <f>SUM('[3]14_15 fleet'!$D$39:$D$68)</f>
        <v>8490</v>
      </c>
      <c r="G166" s="48">
        <f>SUM('[4]15_16 fleet'!$D$39:$D$68)</f>
        <v>9863</v>
      </c>
      <c r="H166" s="48">
        <f>SUM('[5]16_17 fleet_v2'!$D$39:$D$68)</f>
        <v>10350</v>
      </c>
      <c r="I166" s="48">
        <f>SUM('[6]17_18 fleet_v3'!$D$40:$D$69)</f>
        <v>16177</v>
      </c>
      <c r="J166" s="62"/>
      <c r="K166" s="62"/>
      <c r="L166" s="62"/>
      <c r="M166" s="62"/>
      <c r="N166" s="62"/>
      <c r="O166" s="62"/>
      <c r="P166" s="62"/>
      <c r="Q166" s="63"/>
      <c r="R166" s="56"/>
    </row>
    <row r="167" spans="3:18" ht="13" thickTop="1" x14ac:dyDescent="0.25"/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C3:AA167"/>
  <sheetViews>
    <sheetView zoomScale="90" zoomScaleNormal="90" workbookViewId="0">
      <selection activeCell="Y28" sqref="Y28"/>
    </sheetView>
  </sheetViews>
  <sheetFormatPr defaultRowHeight="12.5" x14ac:dyDescent="0.25"/>
  <cols>
    <col min="3" max="3" width="27.81640625" customWidth="1"/>
    <col min="4" max="25" width="17.81640625" customWidth="1"/>
  </cols>
  <sheetData>
    <row r="3" spans="3:25" ht="13" thickBot="1" x14ac:dyDescent="0.3"/>
    <row r="4" spans="3:25" ht="16" thickTop="1" x14ac:dyDescent="0.35">
      <c r="C4" s="32" t="s">
        <v>162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  <c r="R4" s="121"/>
      <c r="S4" s="32" t="s">
        <v>103</v>
      </c>
      <c r="T4" s="33"/>
      <c r="U4" s="33"/>
      <c r="V4" s="33"/>
      <c r="W4" s="34"/>
      <c r="X4" s="34"/>
      <c r="Y4" s="35"/>
    </row>
    <row r="5" spans="3:25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  <c r="R5" s="65"/>
      <c r="S5" s="36"/>
      <c r="T5" s="37" t="s">
        <v>25</v>
      </c>
      <c r="U5" s="37" t="s">
        <v>37</v>
      </c>
      <c r="V5" s="37" t="s">
        <v>38</v>
      </c>
      <c r="W5" s="37" t="s">
        <v>177</v>
      </c>
      <c r="X5" s="37" t="s">
        <v>178</v>
      </c>
      <c r="Y5" s="38" t="s">
        <v>178</v>
      </c>
    </row>
    <row r="6" spans="3:25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  <c r="R6" s="65"/>
      <c r="S6" s="70"/>
      <c r="T6" s="65" t="s">
        <v>39</v>
      </c>
      <c r="U6" s="65" t="s">
        <v>39</v>
      </c>
      <c r="V6" s="65" t="s">
        <v>39</v>
      </c>
      <c r="W6" s="65" t="s">
        <v>39</v>
      </c>
      <c r="X6" s="71" t="s">
        <v>39</v>
      </c>
      <c r="Y6" s="72" t="s">
        <v>39</v>
      </c>
    </row>
    <row r="7" spans="3:25" ht="16" thickTop="1" x14ac:dyDescent="0.35">
      <c r="C7" s="24" t="s">
        <v>0</v>
      </c>
      <c r="D7" s="52">
        <f>'Scaled 2012-13 Data'!$D6</f>
        <v>311.82149173383903</v>
      </c>
      <c r="E7" s="53">
        <f>'Scaled 2013-14 Data'!$D6</f>
        <v>335.41369774834118</v>
      </c>
      <c r="F7" s="53">
        <f>'Scaled 2014-15 Data'!$D6</f>
        <v>359.47402904530486</v>
      </c>
      <c r="G7" s="53">
        <f>'Scaled 2015-16 Data'!$D6</f>
        <v>380.50854846858238</v>
      </c>
      <c r="H7" s="53">
        <f>'Scaled 2016-17 Data'!$D6</f>
        <v>397.56138070693328</v>
      </c>
      <c r="I7" s="129">
        <f>'Scaled 2017-18 Data'!$D6</f>
        <v>453.9937170355542</v>
      </c>
      <c r="J7" s="129">
        <f t="shared" ref="J7:N20" ca="1" si="0">J49+J90+J131</f>
        <v>494.48185367048217</v>
      </c>
      <c r="K7" s="129">
        <f t="shared" ca="1" si="0"/>
        <v>531.19128618750949</v>
      </c>
      <c r="L7" s="129">
        <f t="shared" ca="1" si="0"/>
        <v>565.58949639327705</v>
      </c>
      <c r="M7" s="129">
        <f t="shared" ca="1" si="0"/>
        <v>597.8123542423391</v>
      </c>
      <c r="N7" s="129">
        <f t="shared" ca="1" si="0"/>
        <v>630.31771270222782</v>
      </c>
      <c r="O7" s="129">
        <f t="shared" ref="O7:Q7" ca="1" si="1">O49+O90+O131</f>
        <v>663.77572418527916</v>
      </c>
      <c r="P7" s="129">
        <f t="shared" ca="1" si="1"/>
        <v>696.22069642874203</v>
      </c>
      <c r="Q7" s="197">
        <f t="shared" ca="1" si="1"/>
        <v>726.79612958344728</v>
      </c>
      <c r="R7" s="56"/>
      <c r="S7" s="24" t="s">
        <v>0</v>
      </c>
      <c r="T7" s="52">
        <f>D49+'Vehicle Share Diversion Support'!D86+D131</f>
        <v>311.82149173383908</v>
      </c>
      <c r="U7" s="53">
        <f>E49+'Vehicle Share Diversion Support'!E86+E131</f>
        <v>335.41369774834124</v>
      </c>
      <c r="V7" s="53">
        <f>F49+'Vehicle Share Diversion Support'!F86+F131</f>
        <v>359.47402904530486</v>
      </c>
      <c r="W7" s="53">
        <f>G49+'Vehicle Share Diversion Support'!G86+G131</f>
        <v>380.50854846858238</v>
      </c>
      <c r="X7" s="53">
        <f>H49+'Vehicle Share Diversion Support'!H86+H131</f>
        <v>397.56138070693333</v>
      </c>
      <c r="Y7" s="54">
        <f>I49+'Vehicle Share Diversion Support'!I86+I131</f>
        <v>453.99371703555414</v>
      </c>
    </row>
    <row r="8" spans="3:25" ht="15.5" x14ac:dyDescent="0.35">
      <c r="C8" s="24" t="s">
        <v>1</v>
      </c>
      <c r="D8" s="55">
        <f>'Scaled 2012-13 Data'!$D7</f>
        <v>1368.6272430920972</v>
      </c>
      <c r="E8" s="56">
        <f>'Scaled 2013-14 Data'!$D7</f>
        <v>1426.7194155047903</v>
      </c>
      <c r="F8" s="56">
        <f>'Scaled 2014-15 Data'!$D7</f>
        <v>1503.9178234037272</v>
      </c>
      <c r="G8" s="56">
        <f>'Scaled 2015-16 Data'!$D7</f>
        <v>1649.9989438473494</v>
      </c>
      <c r="H8" s="56">
        <f>'Scaled 2016-17 Data'!$D7</f>
        <v>1831.9769456754079</v>
      </c>
      <c r="I8" s="167">
        <f>'Scaled 2017-18 Data'!$D7</f>
        <v>1913.4715594702416</v>
      </c>
      <c r="J8" s="167">
        <f t="shared" ca="1" si="0"/>
        <v>2155.5822015816962</v>
      </c>
      <c r="K8" s="167">
        <f t="shared" ca="1" si="0"/>
        <v>2377.8024142687423</v>
      </c>
      <c r="L8" s="167">
        <f t="shared" ca="1" si="0"/>
        <v>2607.2518335812847</v>
      </c>
      <c r="M8" s="167">
        <f t="shared" ca="1" si="0"/>
        <v>2843.4856804853989</v>
      </c>
      <c r="N8" s="167">
        <f t="shared" ca="1" si="0"/>
        <v>3099.6840844753578</v>
      </c>
      <c r="O8" s="167">
        <f t="shared" ref="O8:Q8" ca="1" si="2">O50+O91+O132</f>
        <v>3374.4783520054516</v>
      </c>
      <c r="P8" s="167">
        <f t="shared" ca="1" si="2"/>
        <v>3653.8845790535761</v>
      </c>
      <c r="Q8" s="198">
        <f t="shared" ca="1" si="2"/>
        <v>3929.7909385913326</v>
      </c>
      <c r="R8" s="56"/>
      <c r="S8" s="24" t="s">
        <v>1</v>
      </c>
      <c r="T8" s="55">
        <f>D50+'Vehicle Share Diversion Support'!D87+D132</f>
        <v>1368.6272430920969</v>
      </c>
      <c r="U8" s="56">
        <f>E50+'Vehicle Share Diversion Support'!E87+E132</f>
        <v>1426.7194155047905</v>
      </c>
      <c r="V8" s="56">
        <f>F50+'Vehicle Share Diversion Support'!F87+F132</f>
        <v>1503.9178234037274</v>
      </c>
      <c r="W8" s="172">
        <f>G50+'Vehicle Share Diversion Support'!G87+G132</f>
        <v>1649.9989438473494</v>
      </c>
      <c r="X8" s="56">
        <f>H50+'Vehicle Share Diversion Support'!H87+H132</f>
        <v>1831.9769456754082</v>
      </c>
      <c r="Y8" s="57">
        <f>I50+'Vehicle Share Diversion Support'!I87+I132</f>
        <v>1913.4715594702416</v>
      </c>
    </row>
    <row r="9" spans="3:25" ht="15.5" x14ac:dyDescent="0.35">
      <c r="C9" s="24" t="s">
        <v>2</v>
      </c>
      <c r="D9" s="55">
        <f>'Scaled 2012-13 Data'!$D8</f>
        <v>875.01424041411758</v>
      </c>
      <c r="E9" s="56">
        <f>'Scaled 2013-14 Data'!$D8</f>
        <v>890.8735312277222</v>
      </c>
      <c r="F9" s="56">
        <f>'Scaled 2014-15 Data'!$D8</f>
        <v>971.23057092037072</v>
      </c>
      <c r="G9" s="56">
        <f>'Scaled 2015-16 Data'!$D8</f>
        <v>1036.514407274625</v>
      </c>
      <c r="H9" s="56">
        <f>'Scaled 2016-17 Data'!$D8</f>
        <v>1141.4768309784886</v>
      </c>
      <c r="I9" s="167">
        <f>'Scaled 2017-18 Data'!$D8</f>
        <v>1311.4519667158752</v>
      </c>
      <c r="J9" s="167">
        <f t="shared" ca="1" si="0"/>
        <v>1443.0097719922423</v>
      </c>
      <c r="K9" s="167">
        <f t="shared" ca="1" si="0"/>
        <v>1562.391464422366</v>
      </c>
      <c r="L9" s="167">
        <f t="shared" ca="1" si="0"/>
        <v>1677.5886250522281</v>
      </c>
      <c r="M9" s="167">
        <f t="shared" ca="1" si="0"/>
        <v>1789.2759981692257</v>
      </c>
      <c r="N9" s="167">
        <f t="shared" ca="1" si="0"/>
        <v>1905.9135467820911</v>
      </c>
      <c r="O9" s="167">
        <f t="shared" ref="O9:Q9" ca="1" si="3">O51+O92+O133</f>
        <v>2026.8193620951718</v>
      </c>
      <c r="P9" s="167">
        <f t="shared" ca="1" si="3"/>
        <v>2144.6861285874261</v>
      </c>
      <c r="Q9" s="198">
        <f t="shared" ca="1" si="3"/>
        <v>2255.8465219276995</v>
      </c>
      <c r="R9" s="56"/>
      <c r="S9" s="24" t="s">
        <v>2</v>
      </c>
      <c r="T9" s="55">
        <f>D51+'Vehicle Share Diversion Support'!D88+D133</f>
        <v>875.01424041411769</v>
      </c>
      <c r="U9" s="56">
        <f>E51+'Vehicle Share Diversion Support'!E88+E133</f>
        <v>890.87353122772231</v>
      </c>
      <c r="V9" s="56">
        <f>F51+'Vehicle Share Diversion Support'!F88+F133</f>
        <v>971.23057092037072</v>
      </c>
      <c r="W9" s="172">
        <f>G51+'Vehicle Share Diversion Support'!G88+G133</f>
        <v>1036.514407274625</v>
      </c>
      <c r="X9" s="56">
        <f>H51+'Vehicle Share Diversion Support'!H88+H133</f>
        <v>1141.4768309784886</v>
      </c>
      <c r="Y9" s="57">
        <f>I51+'Vehicle Share Diversion Support'!I88+I133</f>
        <v>1311.451966715875</v>
      </c>
    </row>
    <row r="10" spans="3:25" ht="15.5" x14ac:dyDescent="0.35">
      <c r="C10" s="24" t="s">
        <v>3</v>
      </c>
      <c r="D10" s="55">
        <f>'Scaled 2012-13 Data'!$D9</f>
        <v>472.38960087048571</v>
      </c>
      <c r="E10" s="56">
        <f>'Scaled 2013-14 Data'!$D9</f>
        <v>502.98453697884111</v>
      </c>
      <c r="F10" s="56">
        <f>'Scaled 2014-15 Data'!$D9</f>
        <v>520.96875547306979</v>
      </c>
      <c r="G10" s="56">
        <f>'Scaled 2015-16 Data'!$D9</f>
        <v>551.43456595711041</v>
      </c>
      <c r="H10" s="56">
        <f>'Scaled 2016-17 Data'!$D9</f>
        <v>650.78731361289783</v>
      </c>
      <c r="I10" s="167">
        <f>'Scaled 2017-18 Data'!$D9</f>
        <v>694.64937868256982</v>
      </c>
      <c r="J10" s="167">
        <f t="shared" ca="1" si="0"/>
        <v>757.15091558909205</v>
      </c>
      <c r="K10" s="167">
        <f t="shared" ca="1" si="0"/>
        <v>813.47531812560453</v>
      </c>
      <c r="L10" s="167">
        <f t="shared" ca="1" si="0"/>
        <v>866.83646928703797</v>
      </c>
      <c r="M10" s="167">
        <f t="shared" ca="1" si="0"/>
        <v>917.26583280478258</v>
      </c>
      <c r="N10" s="167">
        <f t="shared" ca="1" si="0"/>
        <v>969.49559932582838</v>
      </c>
      <c r="O10" s="167">
        <f t="shared" ref="O10:Q10" ca="1" si="4">O52+O93+O134</f>
        <v>1022.9161739442291</v>
      </c>
      <c r="P10" s="167">
        <f t="shared" ca="1" si="4"/>
        <v>1073.9356955258763</v>
      </c>
      <c r="Q10" s="198">
        <f t="shared" ca="1" si="4"/>
        <v>1120.8095795508739</v>
      </c>
      <c r="R10" s="56"/>
      <c r="S10" s="24" t="s">
        <v>3</v>
      </c>
      <c r="T10" s="55">
        <f>D52+'Vehicle Share Diversion Support'!D89+D134</f>
        <v>472.38960087048571</v>
      </c>
      <c r="U10" s="56">
        <f>E52+'Vehicle Share Diversion Support'!E89+E134</f>
        <v>502.98453697884116</v>
      </c>
      <c r="V10" s="56">
        <f>F52+'Vehicle Share Diversion Support'!F89+F134</f>
        <v>520.96875547306968</v>
      </c>
      <c r="W10" s="172">
        <f>G52+'Vehicle Share Diversion Support'!G89+G134</f>
        <v>551.43456595711052</v>
      </c>
      <c r="X10" s="56">
        <f>H52+'Vehicle Share Diversion Support'!H89+H134</f>
        <v>650.78731361289772</v>
      </c>
      <c r="Y10" s="57">
        <f>I52+'Vehicle Share Diversion Support'!I89+I134</f>
        <v>694.64937868256993</v>
      </c>
    </row>
    <row r="11" spans="3:25" ht="15.5" x14ac:dyDescent="0.35">
      <c r="C11" s="24" t="s">
        <v>4</v>
      </c>
      <c r="D11" s="55">
        <f>'Scaled 2012-13 Data'!$D10</f>
        <v>96.579725725227746</v>
      </c>
      <c r="E11" s="56">
        <f>'Scaled 2013-14 Data'!$D10</f>
        <v>102.0513892468109</v>
      </c>
      <c r="F11" s="56">
        <f>'Scaled 2014-15 Data'!$D10</f>
        <v>109.88376097047974</v>
      </c>
      <c r="G11" s="56">
        <f>'Scaled 2015-16 Data'!$D10</f>
        <v>115.53558337347094</v>
      </c>
      <c r="H11" s="56">
        <f>'Scaled 2016-17 Data'!$D10</f>
        <v>114.90818236685307</v>
      </c>
      <c r="I11" s="167">
        <f>'Scaled 2017-18 Data'!$D10</f>
        <v>125.6171589905223</v>
      </c>
      <c r="J11" s="167">
        <f t="shared" ca="1" si="0"/>
        <v>132.66436068635446</v>
      </c>
      <c r="K11" s="167">
        <f t="shared" ca="1" si="0"/>
        <v>139.0501496065084</v>
      </c>
      <c r="L11" s="167">
        <f t="shared" ca="1" si="0"/>
        <v>144.72034257706136</v>
      </c>
      <c r="M11" s="167">
        <f t="shared" ca="1" si="0"/>
        <v>149.37862313796995</v>
      </c>
      <c r="N11" s="167">
        <f t="shared" ca="1" si="0"/>
        <v>154.06991034947754</v>
      </c>
      <c r="O11" s="167">
        <f t="shared" ref="O11:Q11" ca="1" si="5">O53+O94+O135</f>
        <v>158.72979702827465</v>
      </c>
      <c r="P11" s="167">
        <f t="shared" ca="1" si="5"/>
        <v>162.8018353306756</v>
      </c>
      <c r="Q11" s="198">
        <f t="shared" ca="1" si="5"/>
        <v>166.10206825210199</v>
      </c>
      <c r="R11" s="56"/>
      <c r="S11" s="24" t="s">
        <v>4</v>
      </c>
      <c r="T11" s="55">
        <f>D53+'Vehicle Share Diversion Support'!D90+D135</f>
        <v>96.579725725227746</v>
      </c>
      <c r="U11" s="56">
        <f>E53+'Vehicle Share Diversion Support'!E90+E135</f>
        <v>102.0513892468109</v>
      </c>
      <c r="V11" s="56">
        <f>F53+'Vehicle Share Diversion Support'!F90+F135</f>
        <v>109.88376097047973</v>
      </c>
      <c r="W11" s="172">
        <f>G53+'Vehicle Share Diversion Support'!G90+G135</f>
        <v>115.53558337347094</v>
      </c>
      <c r="X11" s="56">
        <f>H53+'Vehicle Share Diversion Support'!H90+H135</f>
        <v>114.90818236685307</v>
      </c>
      <c r="Y11" s="57">
        <f>I53+'Vehicle Share Diversion Support'!I90+I135</f>
        <v>125.61715899052231</v>
      </c>
    </row>
    <row r="12" spans="3:25" ht="15.5" x14ac:dyDescent="0.35">
      <c r="C12" s="24" t="s">
        <v>5</v>
      </c>
      <c r="D12" s="55">
        <f>'Scaled 2012-13 Data'!$D11</f>
        <v>267.1434621820224</v>
      </c>
      <c r="E12" s="56">
        <f>'Scaled 2013-14 Data'!$D11</f>
        <v>273.16887555436631</v>
      </c>
      <c r="F12" s="56">
        <f>'Scaled 2014-15 Data'!$D11</f>
        <v>292.52815830320537</v>
      </c>
      <c r="G12" s="56">
        <f>'Scaled 2015-16 Data'!$D11</f>
        <v>313.03992346196588</v>
      </c>
      <c r="H12" s="56">
        <f>'Scaled 2016-17 Data'!$D11</f>
        <v>331.21436331063632</v>
      </c>
      <c r="I12" s="167">
        <f>'Scaled 2017-18 Data'!$D11</f>
        <v>359.85898396227537</v>
      </c>
      <c r="J12" s="167">
        <f t="shared" ca="1" si="0"/>
        <v>391.3618389916054</v>
      </c>
      <c r="K12" s="167">
        <f t="shared" ca="1" si="0"/>
        <v>419.99760447000148</v>
      </c>
      <c r="L12" s="167">
        <f t="shared" ca="1" si="0"/>
        <v>447.15588543222117</v>
      </c>
      <c r="M12" s="167">
        <f t="shared" ca="1" si="0"/>
        <v>473.11924867055535</v>
      </c>
      <c r="N12" s="167">
        <f t="shared" ca="1" si="0"/>
        <v>500.51255332298769</v>
      </c>
      <c r="O12" s="167">
        <f t="shared" ref="O12:Q12" ca="1" si="6">O54+O95+O136</f>
        <v>529.05536111708409</v>
      </c>
      <c r="P12" s="167">
        <f t="shared" ca="1" si="6"/>
        <v>556.92049994307911</v>
      </c>
      <c r="Q12" s="198">
        <f t="shared" ca="1" si="6"/>
        <v>583.2903814207591</v>
      </c>
      <c r="R12" s="56"/>
      <c r="S12" s="24" t="s">
        <v>5</v>
      </c>
      <c r="T12" s="55">
        <f>D54+'Vehicle Share Diversion Support'!D91+D136</f>
        <v>267.1434621820224</v>
      </c>
      <c r="U12" s="56">
        <f>E54+'Vehicle Share Diversion Support'!E91+E136</f>
        <v>273.16887555436631</v>
      </c>
      <c r="V12" s="56">
        <f>F54+'Vehicle Share Diversion Support'!F91+F136</f>
        <v>292.52815830320543</v>
      </c>
      <c r="W12" s="172">
        <f>G54+'Vehicle Share Diversion Support'!G91+G136</f>
        <v>313.03992346196588</v>
      </c>
      <c r="X12" s="56">
        <f>H54+'Vehicle Share Diversion Support'!H91+H136</f>
        <v>331.21436331063626</v>
      </c>
      <c r="Y12" s="57">
        <f>I54+'Vehicle Share Diversion Support'!I91+I136</f>
        <v>359.85898396227549</v>
      </c>
    </row>
    <row r="13" spans="3:25" ht="15.5" x14ac:dyDescent="0.35">
      <c r="C13" s="24" t="s">
        <v>6</v>
      </c>
      <c r="D13" s="55">
        <f>'Scaled 2012-13 Data'!$D12</f>
        <v>178.44941470083754</v>
      </c>
      <c r="E13" s="56">
        <f>'Scaled 2013-14 Data'!$D12</f>
        <v>187.78228494409871</v>
      </c>
      <c r="F13" s="56">
        <f>'Scaled 2014-15 Data'!$D12</f>
        <v>201.0008889926157</v>
      </c>
      <c r="G13" s="56">
        <f>'Scaled 2015-16 Data'!$D12</f>
        <v>211.16977947617161</v>
      </c>
      <c r="H13" s="56">
        <f>'Scaled 2016-17 Data'!$D12</f>
        <v>217.29820314360182</v>
      </c>
      <c r="I13" s="167">
        <f>'Scaled 2017-18 Data'!$D12</f>
        <v>232.5450518349019</v>
      </c>
      <c r="J13" s="167">
        <f t="shared" ca="1" si="0"/>
        <v>253.89835144105442</v>
      </c>
      <c r="K13" s="167">
        <f t="shared" ca="1" si="0"/>
        <v>273.47845779707757</v>
      </c>
      <c r="L13" s="167">
        <f t="shared" ca="1" si="0"/>
        <v>292.60202475921415</v>
      </c>
      <c r="M13" s="167">
        <f t="shared" ca="1" si="0"/>
        <v>311.09162892932358</v>
      </c>
      <c r="N13" s="167">
        <f t="shared" ca="1" si="0"/>
        <v>330.57333977120402</v>
      </c>
      <c r="O13" s="167">
        <f t="shared" ref="O13:Q13" ca="1" si="7">O55+O96+O137</f>
        <v>350.90811231166748</v>
      </c>
      <c r="P13" s="167">
        <f t="shared" ca="1" si="7"/>
        <v>370.98837657873742</v>
      </c>
      <c r="Q13" s="198">
        <f t="shared" ca="1" si="7"/>
        <v>390.32292034074641</v>
      </c>
      <c r="R13" s="56"/>
      <c r="S13" s="24" t="s">
        <v>6</v>
      </c>
      <c r="T13" s="55">
        <f>D55+'Vehicle Share Diversion Support'!D92+D137</f>
        <v>178.44941470083759</v>
      </c>
      <c r="U13" s="56">
        <f>E55+'Vehicle Share Diversion Support'!E92+E137</f>
        <v>187.78228494409871</v>
      </c>
      <c r="V13" s="56">
        <f>F55+'Vehicle Share Diversion Support'!F92+F137</f>
        <v>201.00088899261567</v>
      </c>
      <c r="W13" s="172">
        <f>G55+'Vehicle Share Diversion Support'!G92+G137</f>
        <v>211.16977947617158</v>
      </c>
      <c r="X13" s="56">
        <f>H55+'Vehicle Share Diversion Support'!H92+H137</f>
        <v>217.29820314360182</v>
      </c>
      <c r="Y13" s="57">
        <f>I55+'Vehicle Share Diversion Support'!I92+I137</f>
        <v>232.54505183490193</v>
      </c>
    </row>
    <row r="14" spans="3:25" ht="15.5" x14ac:dyDescent="0.35">
      <c r="C14" s="24" t="s">
        <v>7</v>
      </c>
      <c r="D14" s="55">
        <f>'Scaled 2012-13 Data'!$D13</f>
        <v>425.2035435345739</v>
      </c>
      <c r="E14" s="56">
        <f>'Scaled 2013-14 Data'!$D13</f>
        <v>442.79379262005642</v>
      </c>
      <c r="F14" s="56">
        <f>'Scaled 2014-15 Data'!$D13</f>
        <v>464.51235325575487</v>
      </c>
      <c r="G14" s="56">
        <f>'Scaled 2015-16 Data'!$D13</f>
        <v>501.55163492894809</v>
      </c>
      <c r="H14" s="56">
        <f>'Scaled 2016-17 Data'!$D13</f>
        <v>525.47706786232436</v>
      </c>
      <c r="I14" s="167">
        <f>'Scaled 2017-18 Data'!$D13</f>
        <v>557.49249919302724</v>
      </c>
      <c r="J14" s="167">
        <f t="shared" ca="1" si="0"/>
        <v>596.81036283240917</v>
      </c>
      <c r="K14" s="167">
        <f t="shared" ca="1" si="0"/>
        <v>632.19649084694072</v>
      </c>
      <c r="L14" s="167">
        <f t="shared" ca="1" si="0"/>
        <v>664.58088453884534</v>
      </c>
      <c r="M14" s="167">
        <f t="shared" ca="1" si="0"/>
        <v>693.98967865989846</v>
      </c>
      <c r="N14" s="167">
        <f t="shared" ca="1" si="0"/>
        <v>723.57207040497235</v>
      </c>
      <c r="O14" s="167">
        <f t="shared" ref="O14:Q14" ca="1" si="8">O56+O97+O138</f>
        <v>753.82872876012198</v>
      </c>
      <c r="P14" s="167">
        <f t="shared" ca="1" si="8"/>
        <v>782.25548021045427</v>
      </c>
      <c r="Q14" s="198">
        <f t="shared" ca="1" si="8"/>
        <v>807.90918175024262</v>
      </c>
      <c r="R14" s="56"/>
      <c r="S14" s="24" t="s">
        <v>7</v>
      </c>
      <c r="T14" s="55">
        <f>D56+'Vehicle Share Diversion Support'!D93+D138</f>
        <v>425.2035435345739</v>
      </c>
      <c r="U14" s="56">
        <f>E56+'Vehicle Share Diversion Support'!E93+E138</f>
        <v>442.79379262005637</v>
      </c>
      <c r="V14" s="56">
        <f>F56+'Vehicle Share Diversion Support'!F93+F138</f>
        <v>464.51235325575487</v>
      </c>
      <c r="W14" s="172">
        <f>G56+'Vehicle Share Diversion Support'!G93+G138</f>
        <v>501.55163492894815</v>
      </c>
      <c r="X14" s="56">
        <f>H56+'Vehicle Share Diversion Support'!H93+H138</f>
        <v>525.47706786232436</v>
      </c>
      <c r="Y14" s="57">
        <f>I56+'Vehicle Share Diversion Support'!I93+I138</f>
        <v>557.49249919302713</v>
      </c>
    </row>
    <row r="15" spans="3:25" ht="15.5" x14ac:dyDescent="0.35">
      <c r="C15" s="24" t="s">
        <v>8</v>
      </c>
      <c r="D15" s="55">
        <f>'Scaled 2012-13 Data'!$D14</f>
        <v>431.38612231513088</v>
      </c>
      <c r="E15" s="56">
        <f>'Scaled 2013-14 Data'!$D14</f>
        <v>453.607383540054</v>
      </c>
      <c r="F15" s="56">
        <f>'Scaled 2014-15 Data'!$D14</f>
        <v>499.76676788026606</v>
      </c>
      <c r="G15" s="56">
        <f>'Scaled 2015-16 Data'!$D14</f>
        <v>500.00202321921444</v>
      </c>
      <c r="H15" s="56">
        <f>'Scaled 2016-17 Data'!$D14</f>
        <v>514.26487795925254</v>
      </c>
      <c r="I15" s="167">
        <f>'Scaled 2017-18 Data'!$D14</f>
        <v>568.80408858309488</v>
      </c>
      <c r="J15" s="167">
        <f t="shared" ca="1" si="0"/>
        <v>628.77939108794294</v>
      </c>
      <c r="K15" s="167">
        <f t="shared" ca="1" si="0"/>
        <v>684.50520610962917</v>
      </c>
      <c r="L15" s="167">
        <f t="shared" ca="1" si="0"/>
        <v>739.53239198742256</v>
      </c>
      <c r="M15" s="167">
        <f t="shared" ca="1" si="0"/>
        <v>794.32098349431863</v>
      </c>
      <c r="N15" s="167">
        <f t="shared" ca="1" si="0"/>
        <v>852.44461415782189</v>
      </c>
      <c r="O15" s="167">
        <f t="shared" ref="O15:Q15" ca="1" si="9">O57+O98+O139</f>
        <v>913.76845175399353</v>
      </c>
      <c r="P15" s="167">
        <f t="shared" ca="1" si="9"/>
        <v>974.6898161292504</v>
      </c>
      <c r="Q15" s="198">
        <f t="shared" ca="1" si="9"/>
        <v>1033.4231043162717</v>
      </c>
      <c r="R15" s="56"/>
      <c r="S15" s="24" t="s">
        <v>8</v>
      </c>
      <c r="T15" s="55">
        <f>D57+'Vehicle Share Diversion Support'!D94+D139</f>
        <v>431.38612231513088</v>
      </c>
      <c r="U15" s="56">
        <f>E57+'Vehicle Share Diversion Support'!E94+E139</f>
        <v>453.607383540054</v>
      </c>
      <c r="V15" s="56">
        <f>F57+'Vehicle Share Diversion Support'!F94+F139</f>
        <v>499.76676788026612</v>
      </c>
      <c r="W15" s="172">
        <f>G57+'Vehicle Share Diversion Support'!G94+G139</f>
        <v>500.00202321921444</v>
      </c>
      <c r="X15" s="56">
        <f>H57+'Vehicle Share Diversion Support'!H94+H139</f>
        <v>514.26487795925243</v>
      </c>
      <c r="Y15" s="57">
        <f>I57+'Vehicle Share Diversion Support'!I94+I139</f>
        <v>568.80408858309477</v>
      </c>
    </row>
    <row r="16" spans="3:25" ht="15.5" x14ac:dyDescent="0.35">
      <c r="C16" s="24" t="s">
        <v>9</v>
      </c>
      <c r="D16" s="55">
        <f>'Scaled 2012-13 Data'!$D15</f>
        <v>258.29549214058432</v>
      </c>
      <c r="E16" s="56">
        <f>'Scaled 2013-14 Data'!$D15</f>
        <v>268.06773814277665</v>
      </c>
      <c r="F16" s="56">
        <f>'Scaled 2014-15 Data'!$D15</f>
        <v>263.67856131271287</v>
      </c>
      <c r="G16" s="56">
        <f>'Scaled 2015-16 Data'!$D15</f>
        <v>301.67960789763004</v>
      </c>
      <c r="H16" s="56">
        <f>'Scaled 2016-17 Data'!$D15</f>
        <v>316.51914203250629</v>
      </c>
      <c r="I16" s="167">
        <f>'Scaled 2017-18 Data'!$D15</f>
        <v>347.16582322518303</v>
      </c>
      <c r="J16" s="167">
        <f t="shared" ca="1" si="0"/>
        <v>372.59438470768248</v>
      </c>
      <c r="K16" s="167">
        <f t="shared" ca="1" si="0"/>
        <v>395.88828275432678</v>
      </c>
      <c r="L16" s="167">
        <f t="shared" ca="1" si="0"/>
        <v>417.333324794227</v>
      </c>
      <c r="M16" s="167">
        <f t="shared" ca="1" si="0"/>
        <v>436.92032270762013</v>
      </c>
      <c r="N16" s="167">
        <f t="shared" ca="1" si="0"/>
        <v>456.17469831756733</v>
      </c>
      <c r="O16" s="167">
        <f t="shared" ref="O16:Q16" ca="1" si="10">O58+O99+O140</f>
        <v>475.64354841777885</v>
      </c>
      <c r="P16" s="167">
        <f t="shared" ca="1" si="10"/>
        <v>493.62479608393625</v>
      </c>
      <c r="Q16" s="198">
        <f t="shared" ca="1" si="10"/>
        <v>509.41333393220623</v>
      </c>
      <c r="R16" s="56"/>
      <c r="S16" s="24" t="s">
        <v>9</v>
      </c>
      <c r="T16" s="55">
        <f>D58+'Vehicle Share Diversion Support'!D95+D140</f>
        <v>258.29549214058432</v>
      </c>
      <c r="U16" s="56">
        <f>E58+'Vehicle Share Diversion Support'!E95+E140</f>
        <v>268.06773814277659</v>
      </c>
      <c r="V16" s="56">
        <f>F58+'Vehicle Share Diversion Support'!F95+F140</f>
        <v>263.67856131271287</v>
      </c>
      <c r="W16" s="172">
        <f>G58+'Vehicle Share Diversion Support'!G95+G140</f>
        <v>301.67960789763009</v>
      </c>
      <c r="X16" s="56">
        <f>H58+'Vehicle Share Diversion Support'!H95+H140</f>
        <v>316.51914203250624</v>
      </c>
      <c r="Y16" s="57">
        <f>I58+'Vehicle Share Diversion Support'!I95+I140</f>
        <v>347.16582322518303</v>
      </c>
    </row>
    <row r="17" spans="3:25" ht="15.5" x14ac:dyDescent="0.35">
      <c r="C17" s="24" t="s">
        <v>10</v>
      </c>
      <c r="D17" s="55">
        <f>'Scaled 2012-13 Data'!$D16</f>
        <v>118.81812700051496</v>
      </c>
      <c r="E17" s="56">
        <f>'Scaled 2013-14 Data'!$D16</f>
        <v>120.21130771800863</v>
      </c>
      <c r="F17" s="56">
        <f>'Scaled 2014-15 Data'!$D16</f>
        <v>130.55144613689384</v>
      </c>
      <c r="G17" s="56">
        <f>'Scaled 2015-16 Data'!$D16</f>
        <v>132.71199349622168</v>
      </c>
      <c r="H17" s="56">
        <f>'Scaled 2016-17 Data'!$D16</f>
        <v>139.23474761311437</v>
      </c>
      <c r="I17" s="167">
        <f>'Scaled 2017-18 Data'!$D16</f>
        <v>150.9418551294811</v>
      </c>
      <c r="J17" s="167">
        <f t="shared" ca="1" si="0"/>
        <v>157.05920515588966</v>
      </c>
      <c r="K17" s="167">
        <f t="shared" ca="1" si="0"/>
        <v>162.11059467632481</v>
      </c>
      <c r="L17" s="167">
        <f t="shared" ca="1" si="0"/>
        <v>166.09494874491904</v>
      </c>
      <c r="M17" s="167">
        <f t="shared" ca="1" si="0"/>
        <v>169.07030195643301</v>
      </c>
      <c r="N17" s="167">
        <f t="shared" ca="1" si="0"/>
        <v>172.07227848555752</v>
      </c>
      <c r="O17" s="167">
        <f t="shared" ref="O17:Q17" ca="1" si="11">O59+O100+O141</f>
        <v>174.87407929686253</v>
      </c>
      <c r="P17" s="167">
        <f t="shared" ca="1" si="11"/>
        <v>176.93057099548551</v>
      </c>
      <c r="Q17" s="198">
        <f t="shared" ca="1" si="11"/>
        <v>178.0657797322323</v>
      </c>
      <c r="R17" s="56"/>
      <c r="S17" s="24" t="s">
        <v>10</v>
      </c>
      <c r="T17" s="55">
        <f>D59+'Vehicle Share Diversion Support'!D96+D141</f>
        <v>118.81812700051496</v>
      </c>
      <c r="U17" s="56">
        <f>E59+'Vehicle Share Diversion Support'!E96+E141</f>
        <v>120.2113077180086</v>
      </c>
      <c r="V17" s="56">
        <f>F59+'Vehicle Share Diversion Support'!F96+F141</f>
        <v>130.55144613689384</v>
      </c>
      <c r="W17" s="172">
        <f>G59+'Vehicle Share Diversion Support'!G96+G141</f>
        <v>132.71199349622168</v>
      </c>
      <c r="X17" s="56">
        <f>H59+'Vehicle Share Diversion Support'!H96+H141</f>
        <v>139.23474761311434</v>
      </c>
      <c r="Y17" s="57">
        <f>I59+'Vehicle Share Diversion Support'!I96+I141</f>
        <v>150.94185512948107</v>
      </c>
    </row>
    <row r="18" spans="3:25" ht="15.5" x14ac:dyDescent="0.35">
      <c r="C18" s="24" t="s">
        <v>11</v>
      </c>
      <c r="D18" s="55">
        <f>'Scaled 2012-13 Data'!$D17</f>
        <v>874.20252355763523</v>
      </c>
      <c r="E18" s="56">
        <f>'Scaled 2013-14 Data'!$D17</f>
        <v>973.46453611606478</v>
      </c>
      <c r="F18" s="56">
        <f>'Scaled 2014-15 Data'!$D17</f>
        <v>1059.8036204793086</v>
      </c>
      <c r="G18" s="56">
        <f>'Scaled 2015-16 Data'!$D17</f>
        <v>1135.7050512415083</v>
      </c>
      <c r="H18" s="56">
        <f>'Scaled 2016-17 Data'!$D17</f>
        <v>1150.5277407941246</v>
      </c>
      <c r="I18" s="167">
        <f>'Scaled 2017-18 Data'!$D17</f>
        <v>1247.0372948746081</v>
      </c>
      <c r="J18" s="167">
        <f t="shared" ca="1" si="0"/>
        <v>1410.3665097501134</v>
      </c>
      <c r="K18" s="167">
        <f t="shared" ca="1" si="0"/>
        <v>1559.1535442782476</v>
      </c>
      <c r="L18" s="167">
        <f t="shared" ca="1" si="0"/>
        <v>1708.7041891106787</v>
      </c>
      <c r="M18" s="167">
        <f t="shared" ca="1" si="0"/>
        <v>1862.0315059890661</v>
      </c>
      <c r="N18" s="167">
        <f t="shared" ca="1" si="0"/>
        <v>2027.3238024647371</v>
      </c>
      <c r="O18" s="167">
        <f t="shared" ref="O18:Q18" ca="1" si="12">O60+O101+O142</f>
        <v>2204.5606892051869</v>
      </c>
      <c r="P18" s="167">
        <f t="shared" ca="1" si="12"/>
        <v>2384.5656065962348</v>
      </c>
      <c r="Q18" s="198">
        <f t="shared" ca="1" si="12"/>
        <v>2562.4828083787461</v>
      </c>
      <c r="R18" s="56"/>
      <c r="S18" s="24" t="s">
        <v>11</v>
      </c>
      <c r="T18" s="55">
        <f>D60+'Vehicle Share Diversion Support'!D97+D142</f>
        <v>874.20252355763523</v>
      </c>
      <c r="U18" s="56">
        <f>E60+'Vehicle Share Diversion Support'!E97+E142</f>
        <v>973.46453611606489</v>
      </c>
      <c r="V18" s="56">
        <f>F60+'Vehicle Share Diversion Support'!F97+F142</f>
        <v>1059.8036204793086</v>
      </c>
      <c r="W18" s="172">
        <f>G60+'Vehicle Share Diversion Support'!G97+G142</f>
        <v>1135.7050512415083</v>
      </c>
      <c r="X18" s="56">
        <f>H60+'Vehicle Share Diversion Support'!H97+H142</f>
        <v>1150.5277407941246</v>
      </c>
      <c r="Y18" s="57">
        <f>I60+'Vehicle Share Diversion Support'!I97+I142</f>
        <v>1247.0372948746081</v>
      </c>
    </row>
    <row r="19" spans="3:25" ht="15.5" x14ac:dyDescent="0.35">
      <c r="C19" s="24" t="s">
        <v>12</v>
      </c>
      <c r="D19" s="55">
        <f>'Scaled 2012-13 Data'!$D18</f>
        <v>380.02870119088124</v>
      </c>
      <c r="E19" s="56">
        <f>'Scaled 2013-14 Data'!$D18</f>
        <v>401.89930681513556</v>
      </c>
      <c r="F19" s="56">
        <f>'Scaled 2014-15 Data'!$D18</f>
        <v>433.6002545737739</v>
      </c>
      <c r="G19" s="56">
        <f>'Scaled 2015-16 Data'!$D18</f>
        <v>461.03719711760732</v>
      </c>
      <c r="H19" s="56">
        <f>'Scaled 2016-17 Data'!$D18</f>
        <v>481.56820071250354</v>
      </c>
      <c r="I19" s="167">
        <f>'Scaled 2017-18 Data'!$D18</f>
        <v>519.73058842775254</v>
      </c>
      <c r="J19" s="167">
        <f t="shared" ca="1" si="0"/>
        <v>583.72203329920546</v>
      </c>
      <c r="K19" s="167">
        <f t="shared" ca="1" si="0"/>
        <v>639.95390637434116</v>
      </c>
      <c r="L19" s="167">
        <f t="shared" ca="1" si="0"/>
        <v>695.84909345917424</v>
      </c>
      <c r="M19" s="167">
        <f t="shared" ca="1" si="0"/>
        <v>751.69050785784054</v>
      </c>
      <c r="N19" s="167">
        <f t="shared" ca="1" si="0"/>
        <v>811.38318470340869</v>
      </c>
      <c r="O19" s="167">
        <f t="shared" ref="O19:Q19" ca="1" si="13">O61+O102+O143</f>
        <v>874.50922683742579</v>
      </c>
      <c r="P19" s="167">
        <f t="shared" ca="1" si="13"/>
        <v>937.91150625002138</v>
      </c>
      <c r="Q19" s="198">
        <f t="shared" ca="1" si="13"/>
        <v>999.92540820588192</v>
      </c>
      <c r="R19" s="56"/>
      <c r="S19" s="24" t="s">
        <v>12</v>
      </c>
      <c r="T19" s="55">
        <f>D61+'Vehicle Share Diversion Support'!D98+D143</f>
        <v>380.02870119088129</v>
      </c>
      <c r="U19" s="56">
        <f>E61+'Vehicle Share Diversion Support'!E98+E143</f>
        <v>401.89930681513556</v>
      </c>
      <c r="V19" s="56">
        <f>F61+'Vehicle Share Diversion Support'!F98+F143</f>
        <v>433.60025457377384</v>
      </c>
      <c r="W19" s="172">
        <f>G61+'Vehicle Share Diversion Support'!G98+G143</f>
        <v>461.03719711760732</v>
      </c>
      <c r="X19" s="56">
        <f>H61+'Vehicle Share Diversion Support'!H98+H143</f>
        <v>481.56820071250354</v>
      </c>
      <c r="Y19" s="57">
        <f>I61+'Vehicle Share Diversion Support'!I98+I143</f>
        <v>519.73058842775254</v>
      </c>
    </row>
    <row r="20" spans="3:25" ht="16" thickBot="1" x14ac:dyDescent="0.4">
      <c r="C20" s="25" t="s">
        <v>13</v>
      </c>
      <c r="D20" s="58">
        <f>'Scaled 2012-13 Data'!$D19</f>
        <v>239.84139513125811</v>
      </c>
      <c r="E20" s="59">
        <f>'Scaled 2013-14 Data'!$D19</f>
        <v>255.12237408095586</v>
      </c>
      <c r="F20" s="59">
        <f>'Scaled 2014-15 Data'!$D19</f>
        <v>256.70924618429348</v>
      </c>
      <c r="G20" s="59">
        <f>'Scaled 2015-16 Data'!$D19</f>
        <v>291.40318302494006</v>
      </c>
      <c r="H20" s="59">
        <f>'Scaled 2016-17 Data'!$D19</f>
        <v>305.58632051205348</v>
      </c>
      <c r="I20" s="171">
        <f>'Scaled 2017-18 Data'!$D19</f>
        <v>326.94153025683795</v>
      </c>
      <c r="J20" s="171">
        <f t="shared" ca="1" si="0"/>
        <v>343.16835093035945</v>
      </c>
      <c r="K20" s="171">
        <f t="shared" ca="1" si="0"/>
        <v>358.07341835602858</v>
      </c>
      <c r="L20" s="171">
        <f t="shared" ca="1" si="0"/>
        <v>371.36216770377177</v>
      </c>
      <c r="M20" s="171">
        <f t="shared" ca="1" si="0"/>
        <v>382.84287449976262</v>
      </c>
      <c r="N20" s="171">
        <f t="shared" ca="1" si="0"/>
        <v>394.4240320926815</v>
      </c>
      <c r="O20" s="171">
        <f t="shared" ref="O20:Q20" ca="1" si="14">O62+O103+O144</f>
        <v>405.79971322920539</v>
      </c>
      <c r="P20" s="171">
        <f t="shared" ca="1" si="14"/>
        <v>415.58645930109486</v>
      </c>
      <c r="Q20" s="199">
        <f t="shared" ca="1" si="14"/>
        <v>423.28329017528233</v>
      </c>
      <c r="R20" s="56"/>
      <c r="S20" s="25" t="s">
        <v>13</v>
      </c>
      <c r="T20" s="58">
        <f>D62+'Vehicle Share Diversion Support'!D99+D144</f>
        <v>239.84139513125808</v>
      </c>
      <c r="U20" s="59">
        <f>E62+'Vehicle Share Diversion Support'!E99+E144</f>
        <v>255.12237408095586</v>
      </c>
      <c r="V20" s="59">
        <f>F62+'Vehicle Share Diversion Support'!F99+F144</f>
        <v>256.70924618429348</v>
      </c>
      <c r="W20" s="172">
        <f>G62+'Vehicle Share Diversion Support'!G99+G144</f>
        <v>291.40318302494006</v>
      </c>
      <c r="X20" s="59">
        <f>H62+'Vehicle Share Diversion Support'!H99+H144</f>
        <v>305.58632051205342</v>
      </c>
      <c r="Y20" s="60">
        <f>I62+'Vehicle Share Diversion Support'!I99+I144</f>
        <v>326.94153025683789</v>
      </c>
    </row>
    <row r="21" spans="3:25" ht="32" thickTop="1" thickBot="1" x14ac:dyDescent="0.4">
      <c r="C21" s="31" t="s">
        <v>24</v>
      </c>
      <c r="D21" s="61">
        <f t="shared" ref="D21:N21" si="15">SUM(D7:D20)</f>
        <v>6297.8010835892064</v>
      </c>
      <c r="E21" s="62">
        <f t="shared" si="15"/>
        <v>6634.1601702380212</v>
      </c>
      <c r="F21" s="62">
        <f t="shared" si="15"/>
        <v>7067.6262369317774</v>
      </c>
      <c r="G21" s="62">
        <f t="shared" ref="G21:H21" si="16">SUM(G7:G20)</f>
        <v>7582.2924427853468</v>
      </c>
      <c r="H21" s="62">
        <f t="shared" si="16"/>
        <v>8118.401317280699</v>
      </c>
      <c r="I21" s="62">
        <f t="shared" si="15"/>
        <v>8809.7014963819256</v>
      </c>
      <c r="J21" s="62">
        <f t="shared" ca="1" si="15"/>
        <v>9720.6495317161298</v>
      </c>
      <c r="K21" s="62">
        <f t="shared" ca="1" si="15"/>
        <v>10549.268138273648</v>
      </c>
      <c r="L21" s="62">
        <f t="shared" ca="1" si="15"/>
        <v>11365.201677421363</v>
      </c>
      <c r="M21" s="62">
        <f t="shared" ca="1" si="15"/>
        <v>12172.295541604533</v>
      </c>
      <c r="N21" s="62">
        <f t="shared" ca="1" si="15"/>
        <v>13027.961427355922</v>
      </c>
      <c r="O21" s="62">
        <f t="shared" ref="O21:Q21" ca="1" si="17">SUM(O7:O20)</f>
        <v>13929.667320187733</v>
      </c>
      <c r="P21" s="62">
        <f t="shared" ca="1" si="17"/>
        <v>14825.00204701459</v>
      </c>
      <c r="Q21" s="63">
        <f t="shared" ca="1" si="17"/>
        <v>15687.461446157824</v>
      </c>
      <c r="R21" s="56"/>
      <c r="S21" s="31" t="s">
        <v>24</v>
      </c>
      <c r="T21" s="61">
        <f>SUM(T7:T20)</f>
        <v>6297.8010835892064</v>
      </c>
      <c r="U21" s="62">
        <f>SUM(U7:U20)</f>
        <v>6634.1601702380221</v>
      </c>
      <c r="V21" s="62">
        <f>SUM(V7:V20)</f>
        <v>7067.6262369317774</v>
      </c>
      <c r="W21" s="62">
        <f t="shared" ref="W21:X21" si="18">SUM(W7:W20)</f>
        <v>7582.2924427853468</v>
      </c>
      <c r="X21" s="62">
        <f t="shared" si="18"/>
        <v>8118.401317280699</v>
      </c>
      <c r="Y21" s="63">
        <f t="shared" ref="Y21" si="19">SUM(Y7:Y20)</f>
        <v>8809.7014963819256</v>
      </c>
    </row>
    <row r="22" spans="3:25" ht="16.5" thickTop="1" thickBot="1" x14ac:dyDescent="0.4">
      <c r="C22" s="31" t="s">
        <v>96</v>
      </c>
      <c r="D22" s="61">
        <f>'Scaled 2012-13 Data'!$D21</f>
        <v>6297.8010835892064</v>
      </c>
      <c r="E22" s="62">
        <f>'Scaled 2013-14 Data'!$D21</f>
        <v>6634.1601702380212</v>
      </c>
      <c r="F22" s="62">
        <f>'Scaled 2014-15 Data'!$D21</f>
        <v>7067.6262369317774</v>
      </c>
      <c r="G22" s="62">
        <f>'Scaled 2015-16 Data'!$D21</f>
        <v>7582.2924427853468</v>
      </c>
      <c r="H22" s="62">
        <f>'Scaled 2016-17 Data'!$D21</f>
        <v>8118.401317280699</v>
      </c>
      <c r="I22" s="62">
        <f>'Scaled 2017-18 Data'!$D21</f>
        <v>8809.7014963819256</v>
      </c>
      <c r="J22" s="62"/>
      <c r="K22" s="62"/>
      <c r="L22" s="62"/>
      <c r="M22" s="62"/>
      <c r="N22" s="62"/>
      <c r="O22" s="62"/>
      <c r="P22" s="62"/>
      <c r="Q22" s="63"/>
      <c r="R22" s="56"/>
      <c r="S22" s="130"/>
      <c r="T22" s="129"/>
      <c r="U22" s="129"/>
      <c r="V22" s="129"/>
    </row>
    <row r="23" spans="3:25" ht="13" thickTop="1" x14ac:dyDescent="0.25"/>
    <row r="24" spans="3:25" ht="13" thickBot="1" x14ac:dyDescent="0.3"/>
    <row r="25" spans="3:25" ht="16" thickTop="1" x14ac:dyDescent="0.35">
      <c r="C25" s="32" t="s">
        <v>163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121"/>
    </row>
    <row r="26" spans="3:25" ht="13.5" thickBot="1" x14ac:dyDescent="0.35">
      <c r="C26" s="18"/>
      <c r="D26" s="65" t="s">
        <v>25</v>
      </c>
      <c r="E26" s="65" t="s">
        <v>37</v>
      </c>
      <c r="F26" s="65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  <c r="R26" s="65"/>
    </row>
    <row r="27" spans="3:25" ht="14" thickTop="1" thickBot="1" x14ac:dyDescent="0.3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  <c r="R27" s="65"/>
    </row>
    <row r="28" spans="3:25" ht="16" thickTop="1" x14ac:dyDescent="0.35">
      <c r="C28" s="24" t="s">
        <v>0</v>
      </c>
      <c r="D28" s="42">
        <f t="shared" ref="D28:N28" si="20">D69+D110+D151</f>
        <v>21039.234399180976</v>
      </c>
      <c r="E28" s="43">
        <f t="shared" si="20"/>
        <v>21859.604458978953</v>
      </c>
      <c r="F28" s="43">
        <f t="shared" si="20"/>
        <v>22928.06576636824</v>
      </c>
      <c r="G28" s="43">
        <f t="shared" ref="G28:H28" si="21">G69+G110+G151</f>
        <v>24253.826346203859</v>
      </c>
      <c r="H28" s="43">
        <f t="shared" si="21"/>
        <v>26119.68208592575</v>
      </c>
      <c r="I28" s="202">
        <f t="shared" si="20"/>
        <v>27834.517571691162</v>
      </c>
      <c r="J28" s="202">
        <f t="shared" ca="1" si="20"/>
        <v>30564.401453754908</v>
      </c>
      <c r="K28" s="202">
        <f t="shared" ca="1" si="20"/>
        <v>31747.227872746753</v>
      </c>
      <c r="L28" s="202">
        <f t="shared" ca="1" si="20"/>
        <v>32640.540261316622</v>
      </c>
      <c r="M28" s="202">
        <f t="shared" ca="1" si="20"/>
        <v>33261.897347798229</v>
      </c>
      <c r="N28" s="202">
        <f t="shared" ca="1" si="20"/>
        <v>33838.41054863188</v>
      </c>
      <c r="O28" s="129">
        <f t="shared" ref="O28:Q28" ca="1" si="22">O69+O110+O151</f>
        <v>34113.86491715633</v>
      </c>
      <c r="P28" s="129">
        <f t="shared" ca="1" si="22"/>
        <v>34301.456334639406</v>
      </c>
      <c r="Q28" s="197">
        <f t="shared" ca="1" si="22"/>
        <v>34374.093724881124</v>
      </c>
      <c r="R28" s="43"/>
    </row>
    <row r="29" spans="3:25" ht="15.5" x14ac:dyDescent="0.35">
      <c r="C29" s="24" t="s">
        <v>1</v>
      </c>
      <c r="D29" s="42">
        <f t="shared" ref="D29:N29" si="23">D70+D111+D152</f>
        <v>91137.225975803041</v>
      </c>
      <c r="E29" s="43">
        <f t="shared" si="23"/>
        <v>96178.893128753683</v>
      </c>
      <c r="F29" s="43">
        <f t="shared" si="23"/>
        <v>105143.23176403806</v>
      </c>
      <c r="G29" s="43">
        <f t="shared" ref="G29:H29" si="24">G70+G111+G152</f>
        <v>116920.23109277598</v>
      </c>
      <c r="H29" s="43">
        <f t="shared" si="24"/>
        <v>131190.45697052564</v>
      </c>
      <c r="I29" s="202">
        <f t="shared" si="23"/>
        <v>138097.27709966881</v>
      </c>
      <c r="J29" s="202">
        <f t="shared" ca="1" si="23"/>
        <v>156503.93339471714</v>
      </c>
      <c r="K29" s="202">
        <f t="shared" ca="1" si="23"/>
        <v>168245.78871356044</v>
      </c>
      <c r="L29" s="202">
        <f t="shared" ca="1" si="23"/>
        <v>179277.49708304004</v>
      </c>
      <c r="M29" s="202">
        <f t="shared" ca="1" si="23"/>
        <v>190128.17227838055</v>
      </c>
      <c r="N29" s="202">
        <f t="shared" ca="1" si="23"/>
        <v>201757.82241855457</v>
      </c>
      <c r="O29" s="167">
        <f t="shared" ref="O29:Q29" ca="1" si="25">O70+O111+O152</f>
        <v>213185.62645819335</v>
      </c>
      <c r="P29" s="167">
        <f t="shared" ca="1" si="25"/>
        <v>224499.42330740715</v>
      </c>
      <c r="Q29" s="198">
        <f t="shared" ca="1" si="25"/>
        <v>235230.99243952404</v>
      </c>
      <c r="R29" s="43"/>
    </row>
    <row r="30" spans="3:25" ht="15.5" x14ac:dyDescent="0.35">
      <c r="C30" s="24" t="s">
        <v>2</v>
      </c>
      <c r="D30" s="42">
        <f t="shared" ref="D30:N30" si="26">D71+D112+D153</f>
        <v>47627.534906055706</v>
      </c>
      <c r="E30" s="43">
        <f t="shared" si="26"/>
        <v>50526.043705619275</v>
      </c>
      <c r="F30" s="43">
        <f t="shared" si="26"/>
        <v>53502.000734391389</v>
      </c>
      <c r="G30" s="43">
        <f t="shared" ref="G30:H30" si="27">G71+G112+G153</f>
        <v>56830.038473279797</v>
      </c>
      <c r="H30" s="43">
        <f t="shared" si="27"/>
        <v>61571.583811813289</v>
      </c>
      <c r="I30" s="202">
        <f t="shared" si="26"/>
        <v>65030.646820639507</v>
      </c>
      <c r="J30" s="202">
        <f t="shared" ca="1" si="26"/>
        <v>71999.386806515031</v>
      </c>
      <c r="K30" s="202">
        <f t="shared" ca="1" si="26"/>
        <v>75445.409293768113</v>
      </c>
      <c r="L30" s="202">
        <f t="shared" ca="1" si="26"/>
        <v>78300.630508025017</v>
      </c>
      <c r="M30" s="202">
        <f t="shared" ca="1" si="26"/>
        <v>80647.471631103384</v>
      </c>
      <c r="N30" s="202">
        <f t="shared" ca="1" si="26"/>
        <v>83076.001248546279</v>
      </c>
      <c r="O30" s="167">
        <f t="shared" ref="O30:Q30" ca="1" si="28">O71+O112+O153</f>
        <v>84955.66330194092</v>
      </c>
      <c r="P30" s="167">
        <f t="shared" ca="1" si="28"/>
        <v>86610.481215391454</v>
      </c>
      <c r="Q30" s="198">
        <f t="shared" ca="1" si="28"/>
        <v>87924.700630954554</v>
      </c>
      <c r="R30" s="43"/>
    </row>
    <row r="31" spans="3:25" ht="15.5" x14ac:dyDescent="0.35">
      <c r="C31" s="24" t="s">
        <v>3</v>
      </c>
      <c r="D31" s="42">
        <f t="shared" ref="D31:N31" si="29">D72+D113+D154</f>
        <v>38486.901605202584</v>
      </c>
      <c r="E31" s="43">
        <f t="shared" si="29"/>
        <v>40317.325873490794</v>
      </c>
      <c r="F31" s="43">
        <f t="shared" si="29"/>
        <v>42651.027461840764</v>
      </c>
      <c r="G31" s="43">
        <f t="shared" ref="G31:H31" si="30">G72+G113+G154</f>
        <v>45913.086979622429</v>
      </c>
      <c r="H31" s="43">
        <f t="shared" si="30"/>
        <v>50000.136553712466</v>
      </c>
      <c r="I31" s="202">
        <f t="shared" si="29"/>
        <v>52612.847500202159</v>
      </c>
      <c r="J31" s="202">
        <f t="shared" ca="1" si="29"/>
        <v>57734.900793860848</v>
      </c>
      <c r="K31" s="202">
        <f t="shared" ca="1" si="29"/>
        <v>59991.496245543727</v>
      </c>
      <c r="L31" s="202">
        <f t="shared" ca="1" si="29"/>
        <v>61759.07896394495</v>
      </c>
      <c r="M31" s="202">
        <f t="shared" ca="1" si="29"/>
        <v>63113.511406770907</v>
      </c>
      <c r="N31" s="202">
        <f t="shared" ca="1" si="29"/>
        <v>64497.747423502609</v>
      </c>
      <c r="O31" s="167">
        <f t="shared" ref="O31:Q31" ca="1" si="31">O72+O113+O154</f>
        <v>65280.369834545563</v>
      </c>
      <c r="P31" s="167">
        <f t="shared" ca="1" si="31"/>
        <v>65868.71315700133</v>
      </c>
      <c r="Q31" s="198">
        <f t="shared" ca="1" si="31"/>
        <v>66186.299833161538</v>
      </c>
      <c r="R31" s="43"/>
    </row>
    <row r="32" spans="3:25" ht="15.5" x14ac:dyDescent="0.35">
      <c r="C32" s="24" t="s">
        <v>4</v>
      </c>
      <c r="D32" s="42">
        <f t="shared" ref="D32:N32" si="32">D73+D114+D155</f>
        <v>6810.2763687791949</v>
      </c>
      <c r="E32" s="43">
        <f t="shared" si="32"/>
        <v>7148.648497588556</v>
      </c>
      <c r="F32" s="43">
        <f t="shared" si="32"/>
        <v>7475.3583672574341</v>
      </c>
      <c r="G32" s="43">
        <f t="shared" ref="G32:H32" si="33">G73+G114+G155</f>
        <v>7773.254388612404</v>
      </c>
      <c r="H32" s="43">
        <f t="shared" si="33"/>
        <v>8118.0464735030255</v>
      </c>
      <c r="I32" s="202">
        <f t="shared" si="32"/>
        <v>8265.776831558258</v>
      </c>
      <c r="J32" s="202">
        <f t="shared" ca="1" si="32"/>
        <v>8765.8270731353423</v>
      </c>
      <c r="K32" s="202">
        <f t="shared" ca="1" si="32"/>
        <v>8969.9025247458412</v>
      </c>
      <c r="L32" s="202">
        <f t="shared" ca="1" si="32"/>
        <v>9056.2894798108191</v>
      </c>
      <c r="M32" s="202">
        <f t="shared" ca="1" si="32"/>
        <v>9061.0797245997746</v>
      </c>
      <c r="N32" s="202">
        <f t="shared" ca="1" si="32"/>
        <v>9055.8947055344543</v>
      </c>
      <c r="O32" s="167">
        <f t="shared" ref="O32:Q32" ca="1" si="34">O73+O114+O155</f>
        <v>8929.2475206249455</v>
      </c>
      <c r="P32" s="167">
        <f t="shared" ca="1" si="34"/>
        <v>8778.0423193687384</v>
      </c>
      <c r="Q32" s="198">
        <f t="shared" ca="1" si="34"/>
        <v>8597.0193262697685</v>
      </c>
      <c r="R32" s="43"/>
    </row>
    <row r="33" spans="3:20" ht="15.5" x14ac:dyDescent="0.35">
      <c r="C33" s="24" t="s">
        <v>5</v>
      </c>
      <c r="D33" s="42">
        <f t="shared" ref="D33:N33" si="35">D74+D115+D156</f>
        <v>19500.901435016782</v>
      </c>
      <c r="E33" s="43">
        <f t="shared" si="35"/>
        <v>20290.417656315578</v>
      </c>
      <c r="F33" s="43">
        <f t="shared" si="35"/>
        <v>20951.370347880722</v>
      </c>
      <c r="G33" s="43">
        <f t="shared" ref="G33:H33" si="36">G74+G115+G156</f>
        <v>22154.9576657322</v>
      </c>
      <c r="H33" s="43">
        <f t="shared" si="36"/>
        <v>23692.050378388813</v>
      </c>
      <c r="I33" s="202">
        <f t="shared" si="35"/>
        <v>24529.432951629711</v>
      </c>
      <c r="J33" s="202">
        <f t="shared" ca="1" si="35"/>
        <v>26831.496095011076</v>
      </c>
      <c r="K33" s="202">
        <f t="shared" ca="1" si="35"/>
        <v>27899.678624800261</v>
      </c>
      <c r="L33" s="202">
        <f t="shared" ca="1" si="35"/>
        <v>28784.173183401213</v>
      </c>
      <c r="M33" s="202">
        <f t="shared" ca="1" si="35"/>
        <v>29492.483451388231</v>
      </c>
      <c r="N33" s="202">
        <f t="shared" ca="1" si="35"/>
        <v>30240.062269025966</v>
      </c>
      <c r="O33" s="167">
        <f t="shared" ref="O33:Q33" ca="1" si="37">O74+O115+O156</f>
        <v>30792.792273166804</v>
      </c>
      <c r="P33" s="167">
        <f t="shared" ca="1" si="37"/>
        <v>31281.207948515104</v>
      </c>
      <c r="Q33" s="198">
        <f t="shared" ca="1" si="37"/>
        <v>31670.294135284574</v>
      </c>
      <c r="R33" s="43"/>
    </row>
    <row r="34" spans="3:20" ht="15.5" x14ac:dyDescent="0.35">
      <c r="C34" s="24" t="s">
        <v>6</v>
      </c>
      <c r="D34" s="42">
        <f t="shared" ref="D34:N34" si="38">D75+D116+D157</f>
        <v>14200.272381789251</v>
      </c>
      <c r="E34" s="43">
        <f t="shared" si="38"/>
        <v>14869.92259916243</v>
      </c>
      <c r="F34" s="43">
        <f t="shared" si="38"/>
        <v>15413.650170660454</v>
      </c>
      <c r="G34" s="43">
        <f t="shared" ref="G34:H34" si="39">G75+G116+G157</f>
        <v>15921.678361221431</v>
      </c>
      <c r="H34" s="43">
        <f t="shared" si="39"/>
        <v>16503.693375187133</v>
      </c>
      <c r="I34" s="202">
        <f t="shared" si="38"/>
        <v>17200.173281045467</v>
      </c>
      <c r="J34" s="202">
        <f t="shared" ca="1" si="38"/>
        <v>18968.807353718905</v>
      </c>
      <c r="K34" s="202">
        <f t="shared" ca="1" si="38"/>
        <v>19838.589804332045</v>
      </c>
      <c r="L34" s="202">
        <f t="shared" ca="1" si="38"/>
        <v>20504.060013434282</v>
      </c>
      <c r="M34" s="202">
        <f t="shared" ca="1" si="38"/>
        <v>21094.988020054767</v>
      </c>
      <c r="N34" s="202">
        <f t="shared" ca="1" si="38"/>
        <v>21697.563039855941</v>
      </c>
      <c r="O34" s="167">
        <f t="shared" ref="O34:Q34" ca="1" si="40">O75+O116+O157</f>
        <v>22119.94395255742</v>
      </c>
      <c r="P34" s="167">
        <f t="shared" ca="1" si="40"/>
        <v>22492.592828232489</v>
      </c>
      <c r="Q34" s="198">
        <f t="shared" ca="1" si="40"/>
        <v>22793.837619573002</v>
      </c>
      <c r="R34" s="43"/>
    </row>
    <row r="35" spans="3:20" ht="15.5" x14ac:dyDescent="0.35">
      <c r="C35" s="24" t="s">
        <v>7</v>
      </c>
      <c r="D35" s="42">
        <f t="shared" ref="D35:N35" si="41">D76+D117+D158</f>
        <v>28345.755748022464</v>
      </c>
      <c r="E35" s="43">
        <f t="shared" si="41"/>
        <v>29430.233841753048</v>
      </c>
      <c r="F35" s="43">
        <f t="shared" si="41"/>
        <v>30783.775079626481</v>
      </c>
      <c r="G35" s="43">
        <f t="shared" ref="G35:H35" si="42">G76+G117+G158</f>
        <v>32669.066889883863</v>
      </c>
      <c r="H35" s="43">
        <f t="shared" si="42"/>
        <v>34744.320405365143</v>
      </c>
      <c r="I35" s="202">
        <f t="shared" si="41"/>
        <v>36128.196756608049</v>
      </c>
      <c r="J35" s="202">
        <f t="shared" ca="1" si="41"/>
        <v>38887.708234874481</v>
      </c>
      <c r="K35" s="202">
        <f t="shared" ca="1" si="41"/>
        <v>39757.405123375684</v>
      </c>
      <c r="L35" s="202">
        <f t="shared" ca="1" si="41"/>
        <v>40366.295639912925</v>
      </c>
      <c r="M35" s="202">
        <f t="shared" ca="1" si="41"/>
        <v>40640.019209756283</v>
      </c>
      <c r="N35" s="202">
        <f t="shared" ca="1" si="41"/>
        <v>40915.575951053332</v>
      </c>
      <c r="O35" s="167">
        <f t="shared" ref="O35:Q35" ca="1" si="43">O76+O117+O158</f>
        <v>40855.633125306638</v>
      </c>
      <c r="P35" s="167">
        <f t="shared" ca="1" si="43"/>
        <v>40697.220685391221</v>
      </c>
      <c r="Q35" s="198">
        <f t="shared" ca="1" si="43"/>
        <v>40407.409262691464</v>
      </c>
      <c r="R35" s="43"/>
    </row>
    <row r="36" spans="3:20" ht="15.5" x14ac:dyDescent="0.35">
      <c r="C36" s="24" t="s">
        <v>8</v>
      </c>
      <c r="D36" s="42">
        <f t="shared" ref="D36:N36" si="44">D77+D118+D159</f>
        <v>32555.975857539139</v>
      </c>
      <c r="E36" s="43">
        <f t="shared" si="44"/>
        <v>34015.670674965695</v>
      </c>
      <c r="F36" s="43">
        <f t="shared" si="44"/>
        <v>35439.504027070041</v>
      </c>
      <c r="G36" s="43">
        <f t="shared" ref="G36:H36" si="45">G77+G118+G159</f>
        <v>37370.208034302574</v>
      </c>
      <c r="H36" s="43">
        <f t="shared" si="45"/>
        <v>40356.151171683276</v>
      </c>
      <c r="I36" s="202">
        <f t="shared" si="44"/>
        <v>43145.825454609032</v>
      </c>
      <c r="J36" s="202">
        <f t="shared" ca="1" si="44"/>
        <v>47845.673072298632</v>
      </c>
      <c r="K36" s="202">
        <f t="shared" ca="1" si="44"/>
        <v>50131.734799817365</v>
      </c>
      <c r="L36" s="202">
        <f t="shared" ca="1" si="44"/>
        <v>51991.409338632839</v>
      </c>
      <c r="M36" s="202">
        <f t="shared" ca="1" si="44"/>
        <v>53716.54221497228</v>
      </c>
      <c r="N36" s="202">
        <f t="shared" ca="1" si="44"/>
        <v>55531.794528366037</v>
      </c>
      <c r="O36" s="167">
        <f t="shared" ref="O36:Q36" ca="1" si="46">O77+O118+O159</f>
        <v>57080.863874704031</v>
      </c>
      <c r="P36" s="167">
        <f t="shared" ca="1" si="46"/>
        <v>58507.073784225686</v>
      </c>
      <c r="Q36" s="198">
        <f t="shared" ca="1" si="46"/>
        <v>59715.40232410832</v>
      </c>
      <c r="R36" s="43"/>
    </row>
    <row r="37" spans="3:20" ht="15.5" x14ac:dyDescent="0.35">
      <c r="C37" s="24" t="s">
        <v>9</v>
      </c>
      <c r="D37" s="42">
        <f t="shared" ref="D37:N37" si="47">D78+D119+D160</f>
        <v>22752.292583474093</v>
      </c>
      <c r="E37" s="43">
        <f t="shared" si="47"/>
        <v>23572.753806636047</v>
      </c>
      <c r="F37" s="43">
        <f t="shared" si="47"/>
        <v>24690.775298321823</v>
      </c>
      <c r="G37" s="43">
        <f t="shared" ref="G37:H37" si="48">G78+G119+G160</f>
        <v>26101.820965127859</v>
      </c>
      <c r="H37" s="43">
        <f t="shared" si="48"/>
        <v>27750.23499602059</v>
      </c>
      <c r="I37" s="202">
        <f t="shared" si="47"/>
        <v>29336.813918903121</v>
      </c>
      <c r="J37" s="202">
        <f t="shared" ca="1" si="47"/>
        <v>31646.072023485402</v>
      </c>
      <c r="K37" s="202">
        <f t="shared" ca="1" si="47"/>
        <v>32469.526811707561</v>
      </c>
      <c r="L37" s="202">
        <f t="shared" ca="1" si="47"/>
        <v>32925.584816930292</v>
      </c>
      <c r="M37" s="202">
        <f t="shared" ca="1" si="47"/>
        <v>33086.776096724709</v>
      </c>
      <c r="N37" s="202">
        <f t="shared" ca="1" si="47"/>
        <v>33250.819308694983</v>
      </c>
      <c r="O37" s="167">
        <f t="shared" ref="O37:Q37" ca="1" si="49">O78+O119+O160</f>
        <v>33218.785212324663</v>
      </c>
      <c r="P37" s="167">
        <f t="shared" ca="1" si="49"/>
        <v>33090.773331527853</v>
      </c>
      <c r="Q37" s="198">
        <f t="shared" ca="1" si="49"/>
        <v>32834.185930865948</v>
      </c>
      <c r="R37" s="43"/>
    </row>
    <row r="38" spans="3:20" ht="15.5" x14ac:dyDescent="0.35">
      <c r="C38" s="24" t="s">
        <v>10</v>
      </c>
      <c r="D38" s="42">
        <f t="shared" ref="D38:N38" si="50">D79+D120+D161</f>
        <v>6060.9335797665171</v>
      </c>
      <c r="E38" s="43">
        <f t="shared" si="50"/>
        <v>6141.6430271763165</v>
      </c>
      <c r="F38" s="43">
        <f t="shared" si="50"/>
        <v>6229.900503929548</v>
      </c>
      <c r="G38" s="43">
        <f t="shared" ref="G38:H38" si="51">G79+G120+G161</f>
        <v>6170.9929247168629</v>
      </c>
      <c r="H38" s="43">
        <f t="shared" si="51"/>
        <v>6250.8087262688941</v>
      </c>
      <c r="I38" s="202">
        <f t="shared" si="50"/>
        <v>6417.7560541365056</v>
      </c>
      <c r="J38" s="202">
        <f t="shared" ca="1" si="50"/>
        <v>6651.2194283754361</v>
      </c>
      <c r="K38" s="202">
        <f t="shared" ca="1" si="50"/>
        <v>6673.4857709357084</v>
      </c>
      <c r="L38" s="202">
        <f t="shared" ca="1" si="50"/>
        <v>6565.428986263817</v>
      </c>
      <c r="M38" s="202">
        <f t="shared" ca="1" si="50"/>
        <v>6471.5568799874172</v>
      </c>
      <c r="N38" s="202">
        <f t="shared" ca="1" si="50"/>
        <v>6387.5173732049425</v>
      </c>
      <c r="O38" s="167">
        <f t="shared" ref="O38:Q38" ca="1" si="52">O79+O120+O161</f>
        <v>6251.176136007035</v>
      </c>
      <c r="P38" s="167">
        <f t="shared" ca="1" si="52"/>
        <v>6100.7728097269865</v>
      </c>
      <c r="Q38" s="198">
        <f t="shared" ca="1" si="52"/>
        <v>5933.1075936884727</v>
      </c>
      <c r="R38" s="43"/>
    </row>
    <row r="39" spans="3:20" ht="15.5" x14ac:dyDescent="0.35">
      <c r="C39" s="24" t="s">
        <v>11</v>
      </c>
      <c r="D39" s="42">
        <f t="shared" ref="D39:N39" si="53">D80+D121+D162</f>
        <v>69558.324727235275</v>
      </c>
      <c r="E39" s="43">
        <f t="shared" si="53"/>
        <v>74822.70263884704</v>
      </c>
      <c r="F39" s="43">
        <f t="shared" si="53"/>
        <v>79789.413023884728</v>
      </c>
      <c r="G39" s="43">
        <f t="shared" ref="G39:H39" si="54">G80+G121+G162</f>
        <v>83401.270429304306</v>
      </c>
      <c r="H39" s="43">
        <f t="shared" si="54"/>
        <v>86734.556500343228</v>
      </c>
      <c r="I39" s="202">
        <f t="shared" si="53"/>
        <v>89077.336378389824</v>
      </c>
      <c r="J39" s="202">
        <f t="shared" ca="1" si="53"/>
        <v>100886.00467205842</v>
      </c>
      <c r="K39" s="202">
        <f t="shared" ca="1" si="53"/>
        <v>107917.43164804476</v>
      </c>
      <c r="L39" s="202">
        <f t="shared" ca="1" si="53"/>
        <v>114254.98471283726</v>
      </c>
      <c r="M39" s="202">
        <f t="shared" ca="1" si="53"/>
        <v>120260.82885134812</v>
      </c>
      <c r="N39" s="202">
        <f t="shared" ca="1" si="53"/>
        <v>126614.35976755692</v>
      </c>
      <c r="O39" s="167">
        <f t="shared" ref="O39:Q39" ca="1" si="55">O80+O121+O162</f>
        <v>132623.06194695129</v>
      </c>
      <c r="P39" s="167">
        <f t="shared" ca="1" si="55"/>
        <v>138492.52285906035</v>
      </c>
      <c r="Q39" s="198">
        <f t="shared" ca="1" si="55"/>
        <v>143980.58524900122</v>
      </c>
      <c r="R39" s="43"/>
    </row>
    <row r="40" spans="3:20" ht="15.5" x14ac:dyDescent="0.35">
      <c r="C40" s="24" t="s">
        <v>12</v>
      </c>
      <c r="D40" s="42">
        <f t="shared" ref="D40:N40" si="56">D81+D122+D163</f>
        <v>23233.74952469812</v>
      </c>
      <c r="E40" s="43">
        <f t="shared" si="56"/>
        <v>24255.935396700748</v>
      </c>
      <c r="F40" s="43">
        <f t="shared" si="56"/>
        <v>25584.933385519427</v>
      </c>
      <c r="G40" s="43">
        <f t="shared" ref="G40:H40" si="57">G81+G122+G163</f>
        <v>27376.377877397164</v>
      </c>
      <c r="H40" s="43">
        <f t="shared" si="57"/>
        <v>29965.056171242435</v>
      </c>
      <c r="I40" s="202">
        <f t="shared" si="56"/>
        <v>44446.225139851536</v>
      </c>
      <c r="J40" s="202">
        <f t="shared" ca="1" si="56"/>
        <v>50038.242477125561</v>
      </c>
      <c r="K40" s="202">
        <f t="shared" ca="1" si="56"/>
        <v>53109.186725250191</v>
      </c>
      <c r="L40" s="202">
        <f t="shared" ca="1" si="56"/>
        <v>55744.023235879496</v>
      </c>
      <c r="M40" s="202">
        <f t="shared" ca="1" si="56"/>
        <v>58156.314825731075</v>
      </c>
      <c r="N40" s="202">
        <f t="shared" ca="1" si="56"/>
        <v>60681.094319759046</v>
      </c>
      <c r="O40" s="167">
        <f t="shared" ref="O40:Q40" ca="1" si="58">O81+O122+O163</f>
        <v>62932.769634444776</v>
      </c>
      <c r="P40" s="167">
        <f t="shared" ca="1" si="58"/>
        <v>65075.624527508247</v>
      </c>
      <c r="Q40" s="198">
        <f t="shared" ca="1" si="58"/>
        <v>67011.350465071548</v>
      </c>
      <c r="R40" s="43"/>
    </row>
    <row r="41" spans="3:20" ht="16" thickBot="1" x14ac:dyDescent="0.4">
      <c r="C41" s="25" t="s">
        <v>13</v>
      </c>
      <c r="D41" s="45">
        <f t="shared" ref="D41:N41" si="59">D82+D123+D164</f>
        <v>16453.620907436845</v>
      </c>
      <c r="E41" s="46">
        <f t="shared" si="59"/>
        <v>17182.204694011823</v>
      </c>
      <c r="F41" s="46">
        <f t="shared" si="59"/>
        <v>17939.994069210927</v>
      </c>
      <c r="G41" s="46">
        <f t="shared" ref="G41:H41" si="60">G82+G123+G164</f>
        <v>18850.189571819312</v>
      </c>
      <c r="H41" s="46">
        <f t="shared" si="60"/>
        <v>19773.222380020292</v>
      </c>
      <c r="I41" s="203">
        <f t="shared" si="59"/>
        <v>20528.174241066881</v>
      </c>
      <c r="J41" s="203">
        <f t="shared" ca="1" si="59"/>
        <v>21632.973437181121</v>
      </c>
      <c r="K41" s="203">
        <f t="shared" ca="1" si="59"/>
        <v>21827.707234670808</v>
      </c>
      <c r="L41" s="203">
        <f t="shared" ca="1" si="59"/>
        <v>21865.083370126096</v>
      </c>
      <c r="M41" s="203">
        <f t="shared" ca="1" si="59"/>
        <v>21745.779094278005</v>
      </c>
      <c r="N41" s="203">
        <f t="shared" ca="1" si="59"/>
        <v>21621.926904752429</v>
      </c>
      <c r="O41" s="171">
        <f t="shared" ref="O41:Q41" ca="1" si="61">O82+O123+O164</f>
        <v>21322.725914991981</v>
      </c>
      <c r="P41" s="171">
        <f t="shared" ca="1" si="61"/>
        <v>20966.242254841822</v>
      </c>
      <c r="Q41" s="199">
        <f t="shared" ca="1" si="61"/>
        <v>20536.452104937867</v>
      </c>
      <c r="R41" s="43"/>
    </row>
    <row r="42" spans="3:20" ht="16.5" thickTop="1" thickBot="1" x14ac:dyDescent="0.4">
      <c r="C42" s="20" t="s">
        <v>24</v>
      </c>
      <c r="D42" s="48">
        <f t="shared" ref="D42:N42" si="62">SUM(D28:D41)</f>
        <v>437763</v>
      </c>
      <c r="E42" s="48">
        <f t="shared" si="62"/>
        <v>460612.00000000006</v>
      </c>
      <c r="F42" s="48">
        <f t="shared" si="62"/>
        <v>488523</v>
      </c>
      <c r="G42" s="48">
        <f t="shared" si="62"/>
        <v>521707.00000000012</v>
      </c>
      <c r="H42" s="48">
        <f t="shared" si="62"/>
        <v>562769.99999999988</v>
      </c>
      <c r="I42" s="48">
        <f t="shared" si="62"/>
        <v>602651</v>
      </c>
      <c r="J42" s="48">
        <f t="shared" ca="1" si="62"/>
        <v>668956.64631611225</v>
      </c>
      <c r="K42" s="48">
        <f t="shared" ca="1" si="62"/>
        <v>704024.57119329926</v>
      </c>
      <c r="L42" s="48">
        <f t="shared" ca="1" si="62"/>
        <v>734035.07959355565</v>
      </c>
      <c r="M42" s="48">
        <f t="shared" ca="1" si="62"/>
        <v>760877.42103289382</v>
      </c>
      <c r="N42" s="48">
        <f t="shared" ca="1" si="62"/>
        <v>789166.58980703936</v>
      </c>
      <c r="O42" s="62">
        <f t="shared" ref="O42:Q42" ca="1" si="63">SUM(O28:O41)</f>
        <v>813662.52410291566</v>
      </c>
      <c r="P42" s="62">
        <f t="shared" ca="1" si="63"/>
        <v>836762.14736283792</v>
      </c>
      <c r="Q42" s="63">
        <f t="shared" ca="1" si="63"/>
        <v>857195.73064001324</v>
      </c>
      <c r="R42" s="43"/>
      <c r="T42" t="s">
        <v>64</v>
      </c>
    </row>
    <row r="43" spans="3:20" ht="13" thickTop="1" x14ac:dyDescent="0.25"/>
    <row r="45" spans="3:20" ht="13" thickBot="1" x14ac:dyDescent="0.3"/>
    <row r="46" spans="3:20" ht="16" thickTop="1" x14ac:dyDescent="0.35">
      <c r="C46" s="32" t="s">
        <v>59</v>
      </c>
      <c r="D46" s="33"/>
      <c r="E46" s="33"/>
      <c r="F46" s="33"/>
      <c r="G46" s="33"/>
      <c r="H46" s="33"/>
      <c r="I46" s="33"/>
      <c r="J46" s="34"/>
      <c r="K46" s="34"/>
      <c r="L46" s="34"/>
      <c r="M46" s="34"/>
      <c r="N46" s="34"/>
      <c r="O46" s="34"/>
      <c r="P46" s="34"/>
      <c r="Q46" s="35"/>
      <c r="R46" s="121"/>
    </row>
    <row r="47" spans="3:20" ht="13.5" thickBot="1" x14ac:dyDescent="0.35">
      <c r="C47" s="36"/>
      <c r="D47" s="37" t="s">
        <v>25</v>
      </c>
      <c r="E47" s="37" t="s">
        <v>37</v>
      </c>
      <c r="F47" s="37" t="s">
        <v>38</v>
      </c>
      <c r="G47" s="37" t="s">
        <v>177</v>
      </c>
      <c r="H47" s="37" t="s">
        <v>178</v>
      </c>
      <c r="I47" s="37" t="s">
        <v>26</v>
      </c>
      <c r="J47" s="37" t="s">
        <v>27</v>
      </c>
      <c r="K47" s="37" t="s">
        <v>28</v>
      </c>
      <c r="L47" s="37" t="s">
        <v>29</v>
      </c>
      <c r="M47" s="37" t="s">
        <v>30</v>
      </c>
      <c r="N47" s="37" t="s">
        <v>31</v>
      </c>
      <c r="O47" s="37" t="s">
        <v>174</v>
      </c>
      <c r="P47" s="37" t="s">
        <v>175</v>
      </c>
      <c r="Q47" s="38" t="s">
        <v>176</v>
      </c>
      <c r="R47" s="65"/>
    </row>
    <row r="48" spans="3:20" ht="14" thickTop="1" thickBot="1" x14ac:dyDescent="0.35">
      <c r="C48" s="70"/>
      <c r="D48" s="65" t="s">
        <v>39</v>
      </c>
      <c r="E48" s="65" t="s">
        <v>39</v>
      </c>
      <c r="F48" s="65" t="s">
        <v>39</v>
      </c>
      <c r="G48" s="65" t="s">
        <v>39</v>
      </c>
      <c r="H48" s="65" t="s">
        <v>39</v>
      </c>
      <c r="I48" s="65" t="s">
        <v>182</v>
      </c>
      <c r="J48" s="65" t="s">
        <v>32</v>
      </c>
      <c r="K48" s="65" t="s">
        <v>32</v>
      </c>
      <c r="L48" s="65" t="s">
        <v>32</v>
      </c>
      <c r="M48" s="65" t="s">
        <v>32</v>
      </c>
      <c r="N48" s="65" t="s">
        <v>32</v>
      </c>
      <c r="O48" s="65" t="s">
        <v>32</v>
      </c>
      <c r="P48" s="65" t="s">
        <v>32</v>
      </c>
      <c r="Q48" s="66" t="s">
        <v>32</v>
      </c>
      <c r="R48" s="65"/>
    </row>
    <row r="49" spans="3:18" ht="16" thickTop="1" x14ac:dyDescent="0.35">
      <c r="C49" s="24" t="s">
        <v>0</v>
      </c>
      <c r="D49" s="52">
        <f>D7*('[1]12_13 fleet'!$D422/'Original 2012-13 Data'!$D6)/1000000</f>
        <v>186.50249552367717</v>
      </c>
      <c r="E49" s="53">
        <f>E7*('[2]13_14 fleet'!$D424/'Original 2013-14 Data'!$D6)/1000000</f>
        <v>199.51592594777978</v>
      </c>
      <c r="F49" s="53">
        <f>F7*('[3]14_15 fleet'!$D424/'Original 2014-15 Data'!$D6)/1000000</f>
        <v>213.0925923572577</v>
      </c>
      <c r="G49" s="53">
        <f>G7*('[4]15_16 fleet'!$D424/'Original 2015-16 Data'!$D6)/1000000</f>
        <v>229.50121908983186</v>
      </c>
      <c r="H49" s="53">
        <f>H7*('[5]16_17 fleet_v2'!$D424/'Original 2016-17 Data'!$D6)/1000000</f>
        <v>237.19080376948591</v>
      </c>
      <c r="I49" s="129">
        <f>I7*('[6]17_18 fleet_v3'!$D426/'Original 2017-18 Data'!$D6)/1000000</f>
        <v>272.34125528384504</v>
      </c>
      <c r="J49" s="129">
        <f ca="1">$I49*('Light Vehicle Supporting Data'!J47/'Light Vehicle Supporting Data'!$I47)*IF(NOT('Household Vehicle Occupancy'!$C$3),'Household Vehicle Occupancy'!J10/'Household Vehicle Occupancy'!J51,1)</f>
        <v>286.81188807862742</v>
      </c>
      <c r="K49" s="129">
        <f ca="1">$I49*('Light Vehicle Supporting Data'!K47/'Light Vehicle Supporting Data'!$I47)*IF(NOT('Household Vehicle Occupancy'!$C$3),'Household Vehicle Occupancy'!K10/'Household Vehicle Occupancy'!K51,1)</f>
        <v>269.65875006467149</v>
      </c>
      <c r="L49" s="129">
        <f ca="1">$I49*('Light Vehicle Supporting Data'!L47/'Light Vehicle Supporting Data'!$I47)*IF(NOT('Household Vehicle Occupancy'!$C$3),'Household Vehicle Occupancy'!L10/'Household Vehicle Occupancy'!L51,1)</f>
        <v>248.33185864657227</v>
      </c>
      <c r="M49" s="129">
        <f ca="1">$I49*('Light Vehicle Supporting Data'!M47/'Light Vehicle Supporting Data'!$I47)*IF(NOT('Household Vehicle Occupancy'!$C$3),'Household Vehicle Occupancy'!M10/'Household Vehicle Occupancy'!M51,1)</f>
        <v>222.33722245465304</v>
      </c>
      <c r="N49" s="129">
        <f ca="1">$I49*('Light Vehicle Supporting Data'!N47/'Light Vehicle Supporting Data'!$I47)*IF(NOT('Household Vehicle Occupancy'!$C$3),'Household Vehicle Occupancy'!N10/'Household Vehicle Occupancy'!N51,1)</f>
        <v>193.81054607907245</v>
      </c>
      <c r="O49" s="129">
        <f ca="1">$I49*('Light Vehicle Supporting Data'!O47/'Light Vehicle Supporting Data'!$I47)*IF(NOT('Household Vehicle Occupancy'!$C$3),'Household Vehicle Occupancy'!O10/'Household Vehicle Occupancy'!O51,1)</f>
        <v>163.84179940918304</v>
      </c>
      <c r="P49" s="129">
        <f ca="1">$I49*('Light Vehicle Supporting Data'!P47/'Light Vehicle Supporting Data'!$I47)*IF(NOT('Household Vehicle Occupancy'!$C$3),'Household Vehicle Occupancy'!P10/'Household Vehicle Occupancy'!P51,1)</f>
        <v>132.59743145523512</v>
      </c>
      <c r="Q49" s="197">
        <f ca="1">$I49*('Light Vehicle Supporting Data'!Q47/'Light Vehicle Supporting Data'!$I47)*IF(NOT('Household Vehicle Occupancy'!$C$3),'Household Vehicle Occupancy'!Q10/'Household Vehicle Occupancy'!Q51,1)</f>
        <v>100.42967778345249</v>
      </c>
      <c r="R49" s="56"/>
    </row>
    <row r="50" spans="3:18" ht="15.5" x14ac:dyDescent="0.35">
      <c r="C50" s="24" t="s">
        <v>1</v>
      </c>
      <c r="D50" s="55">
        <f>D8*('[1]12_13 fleet'!$D423/'Original 2012-13 Data'!$D7)/1000000</f>
        <v>547.50802253234895</v>
      </c>
      <c r="E50" s="56">
        <f>E8*('[2]13_14 fleet'!$D425/'Original 2013-14 Data'!$D7)/1000000</f>
        <v>567.14129939277461</v>
      </c>
      <c r="F50" s="56">
        <f>F8*('[3]14_15 fleet'!$D425/'Original 2014-15 Data'!$D7)/1000000</f>
        <v>603.00470213965696</v>
      </c>
      <c r="G50" s="56">
        <f>G8*('[4]15_16 fleet'!$D425/'Original 2015-16 Data'!$D7)/1000000</f>
        <v>664.88697936278766</v>
      </c>
      <c r="H50" s="56">
        <f>H8*('[5]16_17 fleet_v2'!$D425/'Original 2016-17 Data'!$D7)/1000000</f>
        <v>705.442775976299</v>
      </c>
      <c r="I50" s="167">
        <f>I8*('[6]17_18 fleet_v3'!$D427/'Original 2017-18 Data'!$D7)/1000000</f>
        <v>744.98536963235949</v>
      </c>
      <c r="J50" s="167">
        <f ca="1">$I50*('Light Vehicle Supporting Data'!J48/'Light Vehicle Supporting Data'!$I48)*IF(NOT('Household Vehicle Occupancy'!$C$3),'Household Vehicle Occupancy'!J11/'Household Vehicle Occupancy'!J52,1)</f>
        <v>791.1930044591486</v>
      </c>
      <c r="K50" s="167">
        <f ca="1">$I50*('Light Vehicle Supporting Data'!K48/'Light Vehicle Supporting Data'!$I48)*IF(NOT('Household Vehicle Occupancy'!$C$3),'Household Vehicle Occupancy'!K11/'Household Vehicle Occupancy'!K52,1)</f>
        <v>747.83383668240151</v>
      </c>
      <c r="L50" s="167">
        <f ca="1">$I50*('Light Vehicle Supporting Data'!L48/'Light Vehicle Supporting Data'!$I48)*IF(NOT('Household Vehicle Occupancy'!$C$3),'Household Vehicle Occupancy'!L11/'Household Vehicle Occupancy'!L52,1)</f>
        <v>697.62353042834582</v>
      </c>
      <c r="M50" s="167">
        <f ca="1">$I50*('Light Vehicle Supporting Data'!M48/'Light Vehicle Supporting Data'!$I48)*IF(NOT('Household Vehicle Occupancy'!$C$3),'Household Vehicle Occupancy'!M11/'Household Vehicle Occupancy'!M52,1)</f>
        <v>632.73223187485314</v>
      </c>
      <c r="N50" s="167">
        <f ca="1">$I50*('Light Vehicle Supporting Data'!N48/'Light Vehicle Supporting Data'!$I48)*IF(NOT('Household Vehicle Occupancy'!$C$3),'Household Vehicle Occupancy'!N11/'Household Vehicle Occupancy'!N52,1)</f>
        <v>559.28669952902851</v>
      </c>
      <c r="O50" s="167">
        <f ca="1">$I50*('Light Vehicle Supporting Data'!O48/'Light Vehicle Supporting Data'!$I48)*IF(NOT('Household Vehicle Occupancy'!$C$3),'Household Vehicle Occupancy'!O11/'Household Vehicle Occupancy'!O52,1)</f>
        <v>479.79624819095085</v>
      </c>
      <c r="P50" s="167">
        <f ca="1">$I50*('Light Vehicle Supporting Data'!P48/'Light Vehicle Supporting Data'!$I48)*IF(NOT('Household Vehicle Occupancy'!$C$3),'Household Vehicle Occupancy'!P11/'Household Vehicle Occupancy'!P52,1)</f>
        <v>393.87216442216339</v>
      </c>
      <c r="Q50" s="198">
        <f ca="1">$I50*('Light Vehicle Supporting Data'!Q48/'Light Vehicle Supporting Data'!$I48)*IF(NOT('Household Vehicle Occupancy'!$C$3),'Household Vehicle Occupancy'!Q11/'Household Vehicle Occupancy'!Q52,1)</f>
        <v>302.39947262700287</v>
      </c>
      <c r="R50" s="56"/>
    </row>
    <row r="51" spans="3:18" ht="15.5" x14ac:dyDescent="0.35">
      <c r="C51" s="24" t="s">
        <v>2</v>
      </c>
      <c r="D51" s="55">
        <f>D9*('[1]12_13 fleet'!$D424/'Original 2012-13 Data'!$D8)/1000000</f>
        <v>459.45538822608523</v>
      </c>
      <c r="E51" s="56">
        <f>E9*('[2]13_14 fleet'!$D426/'Original 2013-14 Data'!$D8)/1000000</f>
        <v>452.95187200601356</v>
      </c>
      <c r="F51" s="56">
        <f>F9*('[3]14_15 fleet'!$D426/'Original 2014-15 Data'!$D8)/1000000</f>
        <v>489.985749765322</v>
      </c>
      <c r="G51" s="56">
        <f>G9*('[4]15_16 fleet'!$D426/'Original 2015-16 Data'!$D8)/1000000</f>
        <v>540.03531042709733</v>
      </c>
      <c r="H51" s="56">
        <f>H9*('[5]16_17 fleet_v2'!$D426/'Original 2016-17 Data'!$D8)/1000000</f>
        <v>579.64463972774445</v>
      </c>
      <c r="I51" s="167">
        <f>I9*('[6]17_18 fleet_v3'!$D428/'Original 2017-18 Data'!$D8)/1000000</f>
        <v>666.963634680464</v>
      </c>
      <c r="J51" s="167">
        <f ca="1">$I51*('Light Vehicle Supporting Data'!J49/'Light Vehicle Supporting Data'!$I49)*IF(NOT('Household Vehicle Occupancy'!$C$3),'Household Vehicle Occupancy'!J12/'Household Vehicle Occupancy'!J53,1)</f>
        <v>704.19214780706693</v>
      </c>
      <c r="K51" s="167">
        <f ca="1">$I51*('Light Vehicle Supporting Data'!K49/'Light Vehicle Supporting Data'!$I49)*IF(NOT('Household Vehicle Occupancy'!$C$3),'Household Vehicle Occupancy'!K12/'Household Vehicle Occupancy'!K53,1)</f>
        <v>663.24531712865394</v>
      </c>
      <c r="L51" s="167">
        <f ca="1">$I51*('Light Vehicle Supporting Data'!L49/'Light Vehicle Supporting Data'!$I49)*IF(NOT('Household Vehicle Occupancy'!$C$3),'Household Vehicle Occupancy'!L12/'Household Vehicle Occupancy'!L53,1)</f>
        <v>612.37702333236746</v>
      </c>
      <c r="M51" s="167">
        <f ca="1">$I51*('Light Vehicle Supporting Data'!M49/'Light Vehicle Supporting Data'!$I49)*IF(NOT('Household Vehicle Occupancy'!$C$3),'Household Vehicle Occupancy'!M12/'Household Vehicle Occupancy'!M53,1)</f>
        <v>549.5956695337303</v>
      </c>
      <c r="N51" s="167">
        <f ca="1">$I51*('Light Vehicle Supporting Data'!N49/'Light Vehicle Supporting Data'!$I49)*IF(NOT('Household Vehicle Occupancy'!$C$3),'Household Vehicle Occupancy'!N12/'Household Vehicle Occupancy'!N53,1)</f>
        <v>480.57078685692477</v>
      </c>
      <c r="O51" s="167">
        <f ca="1">$I51*('Light Vehicle Supporting Data'!O49/'Light Vehicle Supporting Data'!$I49)*IF(NOT('Household Vehicle Occupancy'!$C$3),'Household Vehicle Occupancy'!O12/'Household Vehicle Occupancy'!O53,1)</f>
        <v>407.43436349501576</v>
      </c>
      <c r="P51" s="167">
        <f ca="1">$I51*('Light Vehicle Supporting Data'!P49/'Light Vehicle Supporting Data'!$I49)*IF(NOT('Household Vehicle Occupancy'!$C$3),'Household Vehicle Occupancy'!P12/'Household Vehicle Occupancy'!P53,1)</f>
        <v>330.53316393322206</v>
      </c>
      <c r="Q51" s="198">
        <f ca="1">$I51*('Light Vehicle Supporting Data'!Q49/'Light Vehicle Supporting Data'!$I49)*IF(NOT('Household Vehicle Occupancy'!$C$3),'Household Vehicle Occupancy'!Q12/'Household Vehicle Occupancy'!Q53,1)</f>
        <v>250.82933828594773</v>
      </c>
      <c r="R51" s="56"/>
    </row>
    <row r="52" spans="3:18" ht="15.5" x14ac:dyDescent="0.35">
      <c r="C52" s="24" t="s">
        <v>3</v>
      </c>
      <c r="D52" s="55">
        <f>D10*('[1]12_13 fleet'!$D425/'Original 2012-13 Data'!$D9)/1000000</f>
        <v>237.42340479384896</v>
      </c>
      <c r="E52" s="56">
        <f>E10*('[2]13_14 fleet'!$D427/'Original 2013-14 Data'!$D9)/1000000</f>
        <v>250.12156700939406</v>
      </c>
      <c r="F52" s="56">
        <f>F10*('[3]14_15 fleet'!$D427/'Original 2014-15 Data'!$D9)/1000000</f>
        <v>263.72991953361412</v>
      </c>
      <c r="G52" s="56">
        <f>G10*('[4]15_16 fleet'!$D427/'Original 2015-16 Data'!$D9)/1000000</f>
        <v>285.50955707144271</v>
      </c>
      <c r="H52" s="56">
        <f>H10*('[5]16_17 fleet_v2'!$D427/'Original 2016-17 Data'!$D9)/1000000</f>
        <v>330.20727632054826</v>
      </c>
      <c r="I52" s="167">
        <f>I10*('[6]17_18 fleet_v3'!$D429/'Original 2017-18 Data'!$D9)/1000000</f>
        <v>357.99299026756438</v>
      </c>
      <c r="J52" s="167">
        <f ca="1">$I52*('Light Vehicle Supporting Data'!J50/'Light Vehicle Supporting Data'!$I50)*IF(NOT('Household Vehicle Occupancy'!$C$3),'Household Vehicle Occupancy'!J13/'Household Vehicle Occupancy'!J54,1)</f>
        <v>374.60780181643781</v>
      </c>
      <c r="K52" s="167">
        <f ca="1">$I52*('Light Vehicle Supporting Data'!K50/'Light Vehicle Supporting Data'!$I50)*IF(NOT('Household Vehicle Occupancy'!$C$3),'Household Vehicle Occupancy'!K13/'Household Vehicle Occupancy'!K54,1)</f>
        <v>350.24510522572137</v>
      </c>
      <c r="L52" s="167">
        <f ca="1">$I52*('Light Vehicle Supporting Data'!L50/'Light Vehicle Supporting Data'!$I50)*IF(NOT('Household Vehicle Occupancy'!$C$3),'Household Vehicle Occupancy'!L13/'Household Vehicle Occupancy'!L54,1)</f>
        <v>321.05342997477237</v>
      </c>
      <c r="M52" s="167">
        <f ca="1">$I52*('Light Vehicle Supporting Data'!M50/'Light Vehicle Supporting Data'!$I50)*IF(NOT('Household Vehicle Occupancy'!$C$3),'Household Vehicle Occupancy'!M13/'Household Vehicle Occupancy'!M54,1)</f>
        <v>285.9974036788135</v>
      </c>
      <c r="N52" s="167">
        <f ca="1">$I52*('Light Vehicle Supporting Data'!N50/'Light Vehicle Supporting Data'!$I50)*IF(NOT('Household Vehicle Occupancy'!$C$3),'Household Vehicle Occupancy'!N13/'Household Vehicle Occupancy'!N54,1)</f>
        <v>248.2600527865126</v>
      </c>
      <c r="O52" s="167">
        <f ca="1">$I52*('Light Vehicle Supporting Data'!O50/'Light Vehicle Supporting Data'!$I50)*IF(NOT('Household Vehicle Occupancy'!$C$3),'Household Vehicle Occupancy'!O13/'Household Vehicle Occupancy'!O54,1)</f>
        <v>208.92471011001814</v>
      </c>
      <c r="P52" s="167">
        <f ca="1">$I52*('Light Vehicle Supporting Data'!P50/'Light Vehicle Supporting Data'!$I50)*IF(NOT('Household Vehicle Occupancy'!$C$3),'Household Vehicle Occupancy'!P13/'Household Vehicle Occupancy'!P54,1)</f>
        <v>168.23099250620598</v>
      </c>
      <c r="Q52" s="198">
        <f ca="1">$I52*('Light Vehicle Supporting Data'!Q50/'Light Vehicle Supporting Data'!$I50)*IF(NOT('Household Vehicle Occupancy'!$C$3),'Household Vehicle Occupancy'!Q13/'Household Vehicle Occupancy'!Q54,1)</f>
        <v>126.70781308059111</v>
      </c>
      <c r="R52" s="56"/>
    </row>
    <row r="53" spans="3:18" ht="15.5" x14ac:dyDescent="0.35">
      <c r="C53" s="24" t="s">
        <v>4</v>
      </c>
      <c r="D53" s="55">
        <f>D11*('[1]12_13 fleet'!$D426/'Original 2012-13 Data'!$D10)/1000000</f>
        <v>54.491671781819058</v>
      </c>
      <c r="E53" s="56">
        <f>E11*('[2]13_14 fleet'!$D428/'Original 2013-14 Data'!$D10)/1000000</f>
        <v>56.57618738336528</v>
      </c>
      <c r="F53" s="56">
        <f>F11*('[3]14_15 fleet'!$D428/'Original 2014-15 Data'!$D10)/1000000</f>
        <v>62.640306259470591</v>
      </c>
      <c r="G53" s="56">
        <f>G11*('[4]15_16 fleet'!$D428/'Original 2015-16 Data'!$D10)/1000000</f>
        <v>67.967442255035692</v>
      </c>
      <c r="H53" s="56">
        <f>H11*('[5]16_17 fleet_v2'!$D428/'Original 2016-17 Data'!$D10)/1000000</f>
        <v>66.511301803447552</v>
      </c>
      <c r="I53" s="167">
        <f>I11*('[6]17_18 fleet_v3'!$D430/'Original 2017-18 Data'!$D10)/1000000</f>
        <v>73.629877775233894</v>
      </c>
      <c r="J53" s="167">
        <f ca="1">$I53*('Light Vehicle Supporting Data'!J51/'Light Vehicle Supporting Data'!$I51)*IF(NOT('Household Vehicle Occupancy'!$C$3),'Household Vehicle Occupancy'!J14/'Household Vehicle Occupancy'!J55,1)</f>
        <v>75.071489537821236</v>
      </c>
      <c r="K53" s="167">
        <f ca="1">$I53*('Light Vehicle Supporting Data'!K51/'Light Vehicle Supporting Data'!$I51)*IF(NOT('Household Vehicle Occupancy'!$C$3),'Household Vehicle Occupancy'!K14/'Household Vehicle Occupancy'!K55,1)</f>
        <v>68.774927057979511</v>
      </c>
      <c r="L53" s="167">
        <f ca="1">$I53*('Light Vehicle Supporting Data'!L51/'Light Vehicle Supporting Data'!$I51)*IF(NOT('Household Vehicle Occupancy'!$C$3),'Household Vehicle Occupancy'!L14/'Household Vehicle Occupancy'!L55,1)</f>
        <v>61.827409635434087</v>
      </c>
      <c r="M53" s="167">
        <f ca="1">$I53*('Light Vehicle Supporting Data'!M51/'Light Vehicle Supporting Data'!$I51)*IF(NOT('Household Vehicle Occupancy'!$C$3),'Household Vehicle Occupancy'!M14/'Household Vehicle Occupancy'!M55,1)</f>
        <v>53.974533231887278</v>
      </c>
      <c r="N53" s="167">
        <f ca="1">$I53*('Light Vehicle Supporting Data'!N51/'Light Vehicle Supporting Data'!$I51)*IF(NOT('Household Vehicle Occupancy'!$C$3),'Household Vehicle Occupancy'!N14/'Household Vehicle Occupancy'!N55,1)</f>
        <v>45.947368560950245</v>
      </c>
      <c r="O53" s="167">
        <f ca="1">$I53*('Light Vehicle Supporting Data'!O51/'Light Vehicle Supporting Data'!$I51)*IF(NOT('Household Vehicle Occupancy'!$C$3),'Household Vehicle Occupancy'!O14/'Household Vehicle Occupancy'!O55,1)</f>
        <v>37.952667615951256</v>
      </c>
      <c r="P53" s="167">
        <f ca="1">$I53*('Light Vehicle Supporting Data'!P51/'Light Vehicle Supporting Data'!$I51)*IF(NOT('Household Vehicle Occupancy'!$C$3),'Household Vehicle Occupancy'!P14/'Household Vehicle Occupancy'!P55,1)</f>
        <v>29.999421962037481</v>
      </c>
      <c r="Q53" s="198">
        <f ca="1">$I53*('Light Vehicle Supporting Data'!Q51/'Light Vehicle Supporting Data'!$I51)*IF(NOT('Household Vehicle Occupancy'!$C$3),'Household Vehicle Occupancy'!Q14/'Household Vehicle Occupancy'!Q55,1)</f>
        <v>22.183117934349784</v>
      </c>
      <c r="R53" s="56"/>
    </row>
    <row r="54" spans="3:18" ht="15.5" x14ac:dyDescent="0.35">
      <c r="C54" s="24" t="s">
        <v>5</v>
      </c>
      <c r="D54" s="55">
        <f>D12*('[1]12_13 fleet'!$D427/'Original 2012-13 Data'!$D11)/1000000</f>
        <v>144.90444557009837</v>
      </c>
      <c r="E54" s="56">
        <f>E12*('[2]13_14 fleet'!$D429/'Original 2013-14 Data'!$D11)/1000000</f>
        <v>147.10011760947359</v>
      </c>
      <c r="F54" s="56">
        <f>F12*('[3]14_15 fleet'!$D429/'Original 2014-15 Data'!$D11)/1000000</f>
        <v>157.68617161752925</v>
      </c>
      <c r="G54" s="56">
        <f>G12*('[4]15_16 fleet'!$D429/'Original 2015-16 Data'!$D11)/1000000</f>
        <v>172.12806217966232</v>
      </c>
      <c r="H54" s="56">
        <f>H12*('[5]16_17 fleet_v2'!$D429/'Original 2016-17 Data'!$D11)/1000000</f>
        <v>176.43608590274624</v>
      </c>
      <c r="I54" s="167">
        <f>I12*('[6]17_18 fleet_v3'!$D431/'Original 2017-18 Data'!$D11)/1000000</f>
        <v>192.05300520810727</v>
      </c>
      <c r="J54" s="167">
        <f ca="1">$I54*('Light Vehicle Supporting Data'!J52/'Light Vehicle Supporting Data'!$I52)*IF(NOT('Household Vehicle Occupancy'!$C$3),'Household Vehicle Occupancy'!J15/'Household Vehicle Occupancy'!J56,1)</f>
        <v>200.79642093749143</v>
      </c>
      <c r="K54" s="167">
        <f ca="1">$I54*('Light Vehicle Supporting Data'!K52/'Light Vehicle Supporting Data'!$I52)*IF(NOT('Household Vehicle Occupancy'!$C$3),'Household Vehicle Occupancy'!K15/'Household Vehicle Occupancy'!K56,1)</f>
        <v>187.72580732025355</v>
      </c>
      <c r="L54" s="167">
        <f ca="1">$I54*('Light Vehicle Supporting Data'!L52/'Light Vehicle Supporting Data'!$I52)*IF(NOT('Household Vehicle Occupancy'!$C$3),'Household Vehicle Occupancy'!L15/'Household Vehicle Occupancy'!L56,1)</f>
        <v>172.10014319333715</v>
      </c>
      <c r="M54" s="167">
        <f ca="1">$I54*('Light Vehicle Supporting Data'!M52/'Light Vehicle Supporting Data'!$I52)*IF(NOT('Household Vehicle Occupancy'!$C$3),'Household Vehicle Occupancy'!M15/'Household Vehicle Occupancy'!M56,1)</f>
        <v>153.46540887535832</v>
      </c>
      <c r="N54" s="167">
        <f ca="1">$I54*('Light Vehicle Supporting Data'!N52/'Light Vehicle Supporting Data'!$I52)*IF(NOT('Household Vehicle Occupancy'!$C$3),'Household Vehicle Occupancy'!N15/'Household Vehicle Occupancy'!N56,1)</f>
        <v>133.49639794418573</v>
      </c>
      <c r="O54" s="167">
        <f ca="1">$I54*('Light Vehicle Supporting Data'!O52/'Light Vehicle Supporting Data'!$I52)*IF(NOT('Household Vehicle Occupancy'!$C$3),'Household Vehicle Occupancy'!O15/'Household Vehicle Occupancy'!O56,1)</f>
        <v>112.70081086544278</v>
      </c>
      <c r="P54" s="167">
        <f ca="1">$I54*('Light Vehicle Supporting Data'!P52/'Light Vehicle Supporting Data'!$I52)*IF(NOT('Household Vehicle Occupancy'!$C$3),'Household Vehicle Occupancy'!P15/'Household Vehicle Occupancy'!P56,1)</f>
        <v>91.104934691720729</v>
      </c>
      <c r="Q54" s="198">
        <f ca="1">$I54*('Light Vehicle Supporting Data'!Q52/'Light Vehicle Supporting Data'!$I52)*IF(NOT('Household Vehicle Occupancy'!$C$3),'Household Vehicle Occupancy'!Q15/'Household Vehicle Occupancy'!Q56,1)</f>
        <v>68.939140054869938</v>
      </c>
      <c r="R54" s="56"/>
    </row>
    <row r="55" spans="3:18" ht="15.5" x14ac:dyDescent="0.35">
      <c r="C55" s="24" t="s">
        <v>6</v>
      </c>
      <c r="D55" s="55">
        <f>D13*('[1]12_13 fleet'!$D428/'Original 2012-13 Data'!$D12)/1000000</f>
        <v>103.08250421054605</v>
      </c>
      <c r="E55" s="56">
        <f>E13*('[2]13_14 fleet'!$D430/'Original 2013-14 Data'!$D12)/1000000</f>
        <v>106.88701907781663</v>
      </c>
      <c r="F55" s="56">
        <f>F13*('[3]14_15 fleet'!$D430/'Original 2014-15 Data'!$D12)/1000000</f>
        <v>115.74581387425032</v>
      </c>
      <c r="G55" s="56">
        <f>G13*('[4]15_16 fleet'!$D430/'Original 2015-16 Data'!$D12)/1000000</f>
        <v>124.01316627470618</v>
      </c>
      <c r="H55" s="56">
        <f>H13*('[5]16_17 fleet_v2'!$D430/'Original 2016-17 Data'!$D12)/1000000</f>
        <v>127.16769333082658</v>
      </c>
      <c r="I55" s="167">
        <f>I13*('[6]17_18 fleet_v3'!$D432/'Original 2017-18 Data'!$D12)/1000000</f>
        <v>136.73868781900049</v>
      </c>
      <c r="J55" s="167">
        <f ca="1">$I55*('Light Vehicle Supporting Data'!J53/'Light Vehicle Supporting Data'!$I53)*IF(NOT('Household Vehicle Occupancy'!$C$3),'Household Vehicle Occupancy'!J16/'Household Vehicle Occupancy'!J57,1)</f>
        <v>144.2000486738992</v>
      </c>
      <c r="K55" s="167">
        <f ca="1">$I55*('Light Vehicle Supporting Data'!K53/'Light Vehicle Supporting Data'!$I53)*IF(NOT('Household Vehicle Occupancy'!$C$3),'Household Vehicle Occupancy'!K16/'Household Vehicle Occupancy'!K57,1)</f>
        <v>135.81976447237182</v>
      </c>
      <c r="L55" s="167">
        <f ca="1">$I55*('Light Vehicle Supporting Data'!L53/'Light Vehicle Supporting Data'!$I53)*IF(NOT('Household Vehicle Occupancy'!$C$3),'Household Vehicle Occupancy'!L16/'Household Vehicle Occupancy'!L57,1)</f>
        <v>125.57851743288164</v>
      </c>
      <c r="M55" s="167">
        <f ca="1">$I55*('Light Vehicle Supporting Data'!M53/'Light Vehicle Supporting Data'!$I53)*IF(NOT('Household Vehicle Occupancy'!$C$3),'Household Vehicle Occupancy'!M16/'Household Vehicle Occupancy'!M57,1)</f>
        <v>112.98347659738103</v>
      </c>
      <c r="N55" s="167">
        <f ca="1">$I55*('Light Vehicle Supporting Data'!N53/'Light Vehicle Supporting Data'!$I53)*IF(NOT('Household Vehicle Occupancy'!$C$3),'Household Vehicle Occupancy'!N16/'Household Vehicle Occupancy'!N57,1)</f>
        <v>99.152827164633948</v>
      </c>
      <c r="O55" s="167">
        <f ca="1">$I55*('Light Vehicle Supporting Data'!O53/'Light Vehicle Supporting Data'!$I53)*IF(NOT('Household Vehicle Occupancy'!$C$3),'Household Vehicle Occupancy'!O16/'Household Vehicle Occupancy'!O57,1)</f>
        <v>84.41360285122461</v>
      </c>
      <c r="P55" s="167">
        <f ca="1">$I55*('Light Vehicle Supporting Data'!P53/'Light Vehicle Supporting Data'!$I53)*IF(NOT('Household Vehicle Occupancy'!$C$3),'Household Vehicle Occupancy'!P16/'Household Vehicle Occupancy'!P57,1)</f>
        <v>68.801049755865975</v>
      </c>
      <c r="Q55" s="198">
        <f ca="1">$I55*('Light Vehicle Supporting Data'!Q53/'Light Vehicle Supporting Data'!$I53)*IF(NOT('Household Vehicle Occupancy'!$C$3),'Household Vehicle Occupancy'!Q16/'Household Vehicle Occupancy'!Q57,1)</f>
        <v>52.481180058739163</v>
      </c>
      <c r="R55" s="56"/>
    </row>
    <row r="56" spans="3:18" ht="15.5" x14ac:dyDescent="0.35">
      <c r="C56" s="24" t="s">
        <v>7</v>
      </c>
      <c r="D56" s="55">
        <f>D14*('[1]12_13 fleet'!$D429/'Original 2012-13 Data'!$D13)/1000000</f>
        <v>246.97239315790878</v>
      </c>
      <c r="E56" s="56">
        <f>E14*('[2]13_14 fleet'!$D431/'Original 2013-14 Data'!$D13)/1000000</f>
        <v>252.71761299011146</v>
      </c>
      <c r="F56" s="56">
        <f>F14*('[3]14_15 fleet'!$D431/'Original 2014-15 Data'!$D13)/1000000</f>
        <v>266.40092290093423</v>
      </c>
      <c r="G56" s="56">
        <f>G14*('[4]15_16 fleet'!$D431/'Original 2015-16 Data'!$D13)/1000000</f>
        <v>293.08524435604039</v>
      </c>
      <c r="H56" s="56">
        <f>H14*('[5]16_17 fleet_v2'!$D431/'Original 2016-17 Data'!$D13)/1000000</f>
        <v>303.01198236511397</v>
      </c>
      <c r="I56" s="167">
        <f>I14*('[6]17_18 fleet_v3'!$D433/'Original 2017-18 Data'!$D13)/1000000</f>
        <v>321.71292085066034</v>
      </c>
      <c r="J56" s="167">
        <f ca="1">$I56*('Light Vehicle Supporting Data'!J54/'Light Vehicle Supporting Data'!$I54)*IF(NOT('Household Vehicle Occupancy'!$C$3),'Household Vehicle Occupancy'!J17/'Household Vehicle Occupancy'!J58,1)</f>
        <v>332.2842309641905</v>
      </c>
      <c r="K56" s="167">
        <f ca="1">$I56*('Light Vehicle Supporting Data'!K54/'Light Vehicle Supporting Data'!$I54)*IF(NOT('Household Vehicle Occupancy'!$C$3),'Household Vehicle Occupancy'!K17/'Household Vehicle Occupancy'!K58,1)</f>
        <v>307.5125164650608</v>
      </c>
      <c r="L56" s="167">
        <f ca="1">$I56*('Light Vehicle Supporting Data'!L54/'Light Vehicle Supporting Data'!$I54)*IF(NOT('Household Vehicle Occupancy'!$C$3),'Household Vehicle Occupancy'!L17/'Household Vehicle Occupancy'!L58,1)</f>
        <v>279.10699845684815</v>
      </c>
      <c r="M56" s="167">
        <f ca="1">$I56*('Light Vehicle Supporting Data'!M54/'Light Vehicle Supporting Data'!$I54)*IF(NOT('Household Vehicle Occupancy'!$C$3),'Household Vehicle Occupancy'!M17/'Household Vehicle Occupancy'!M58,1)</f>
        <v>246.38911449561763</v>
      </c>
      <c r="N56" s="167">
        <f ca="1">$I56*('Light Vehicle Supporting Data'!N54/'Light Vehicle Supporting Data'!$I54)*IF(NOT('Household Vehicle Occupancy'!$C$3),'Household Vehicle Occupancy'!N17/'Household Vehicle Occupancy'!N58,1)</f>
        <v>211.92263035363197</v>
      </c>
      <c r="O56" s="167">
        <f ca="1">$I56*('Light Vehicle Supporting Data'!O54/'Light Vehicle Supporting Data'!$I54)*IF(NOT('Household Vehicle Occupancy'!$C$3),'Household Vehicle Occupancy'!O17/'Household Vehicle Occupancy'!O58,1)</f>
        <v>176.90276798109196</v>
      </c>
      <c r="P56" s="167">
        <f ca="1">$I56*('Light Vehicle Supporting Data'!P54/'Light Vehicle Supporting Data'!$I54)*IF(NOT('Household Vehicle Occupancy'!$C$3),'Household Vehicle Occupancy'!P17/'Household Vehicle Occupancy'!P58,1)</f>
        <v>141.39165899899015</v>
      </c>
      <c r="Q56" s="198">
        <f ca="1">$I56*('Light Vehicle Supporting Data'!Q54/'Light Vehicle Supporting Data'!$I54)*IF(NOT('Household Vehicle Occupancy'!$C$3),'Household Vehicle Occupancy'!Q17/'Household Vehicle Occupancy'!Q58,1)</f>
        <v>105.77998560210916</v>
      </c>
      <c r="R56" s="56"/>
    </row>
    <row r="57" spans="3:18" ht="15.5" x14ac:dyDescent="0.35">
      <c r="C57" s="24" t="s">
        <v>8</v>
      </c>
      <c r="D57" s="55">
        <f>D15*('[1]12_13 fleet'!$D430/'Original 2012-13 Data'!$D14)/1000000</f>
        <v>200.96597295528005</v>
      </c>
      <c r="E57" s="56">
        <f>E15*('[2]13_14 fleet'!$D432/'Original 2013-14 Data'!$D14)/1000000</f>
        <v>208.68623263390859</v>
      </c>
      <c r="F57" s="56">
        <f>F15*('[3]14_15 fleet'!$D432/'Original 2014-15 Data'!$D14)/1000000</f>
        <v>230.6389596440786</v>
      </c>
      <c r="G57" s="56">
        <f>G15*('[4]15_16 fleet'!$D432/'Original 2015-16 Data'!$D14)/1000000</f>
        <v>235.59155179465063</v>
      </c>
      <c r="H57" s="56">
        <f>H15*('[5]16_17 fleet_v2'!$D432/'Original 2016-17 Data'!$D14)/1000000</f>
        <v>238.06777613628279</v>
      </c>
      <c r="I57" s="167">
        <f>I15*('[6]17_18 fleet_v3'!$D434/'Original 2017-18 Data'!$D14)/1000000</f>
        <v>264.30193898669273</v>
      </c>
      <c r="J57" s="167">
        <f ca="1">$I57*('Light Vehicle Supporting Data'!J55/'Light Vehicle Supporting Data'!$I55)*IF(NOT('Household Vehicle Occupancy'!$C$3),'Household Vehicle Occupancy'!J18/'Household Vehicle Occupancy'!J59,1)</f>
        <v>278.73136273115171</v>
      </c>
      <c r="K57" s="167">
        <f ca="1">$I57*('Light Vehicle Supporting Data'!K55/'Light Vehicle Supporting Data'!$I55)*IF(NOT('Household Vehicle Occupancy'!$C$3),'Household Vehicle Occupancy'!K18/'Household Vehicle Occupancy'!K59,1)</f>
        <v>262.7503961093737</v>
      </c>
      <c r="L57" s="167">
        <f ca="1">$I57*('Light Vehicle Supporting Data'!L55/'Light Vehicle Supporting Data'!$I55)*IF(NOT('Household Vehicle Occupancy'!$C$3),'Household Vehicle Occupancy'!L18/'Household Vehicle Occupancy'!L59,1)</f>
        <v>243.13938190282056</v>
      </c>
      <c r="M57" s="167">
        <f ca="1">$I57*('Light Vehicle Supporting Data'!M55/'Light Vehicle Supporting Data'!$I55)*IF(NOT('Household Vehicle Occupancy'!$C$3),'Household Vehicle Occupancy'!M18/'Household Vehicle Occupancy'!M59,1)</f>
        <v>218.78494635510336</v>
      </c>
      <c r="N57" s="167">
        <f ca="1">$I57*('Light Vehicle Supporting Data'!N55/'Light Vehicle Supporting Data'!$I55)*IF(NOT('Household Vehicle Occupancy'!$C$3),'Household Vehicle Occupancy'!N18/'Household Vehicle Occupancy'!N59,1)</f>
        <v>191.82841682306019</v>
      </c>
      <c r="O57" s="167">
        <f ca="1">$I57*('Light Vehicle Supporting Data'!O55/'Light Vehicle Supporting Data'!$I55)*IF(NOT('Household Vehicle Occupancy'!$C$3),'Household Vehicle Occupancy'!O18/'Household Vehicle Occupancy'!O59,1)</f>
        <v>163.23898257754951</v>
      </c>
      <c r="P57" s="167">
        <f ca="1">$I57*('Light Vehicle Supporting Data'!P55/'Light Vehicle Supporting Data'!$I55)*IF(NOT('Household Vehicle Occupancy'!$C$3),'Household Vehicle Occupancy'!P18/'Household Vehicle Occupancy'!P59,1)</f>
        <v>132.94074704502788</v>
      </c>
      <c r="Q57" s="198">
        <f ca="1">$I57*('Light Vehicle Supporting Data'!Q55/'Light Vehicle Supporting Data'!$I55)*IF(NOT('Household Vehicle Occupancy'!$C$3),'Household Vehicle Occupancy'!Q18/'Household Vehicle Occupancy'!Q59,1)</f>
        <v>101.29323951196224</v>
      </c>
      <c r="R57" s="56"/>
    </row>
    <row r="58" spans="3:18" ht="15.5" x14ac:dyDescent="0.35">
      <c r="C58" s="24" t="s">
        <v>9</v>
      </c>
      <c r="D58" s="55">
        <f>D16*('[1]12_13 fleet'!$D431/'Original 2012-13 Data'!$D15)/1000000</f>
        <v>142.35660182479404</v>
      </c>
      <c r="E58" s="56">
        <f>E16*('[2]13_14 fleet'!$D433/'Original 2013-14 Data'!$D15)/1000000</f>
        <v>145.89442310394398</v>
      </c>
      <c r="F58" s="56">
        <f>F16*('[3]14_15 fleet'!$D433/'Original 2014-15 Data'!$D15)/1000000</f>
        <v>142.94471654348291</v>
      </c>
      <c r="G58" s="56">
        <f>G16*('[4]15_16 fleet'!$D433/'Original 2015-16 Data'!$D15)/1000000</f>
        <v>164.8429894233129</v>
      </c>
      <c r="H58" s="56">
        <f>H16*('[5]16_17 fleet_v2'!$D433/'Original 2016-17 Data'!$D15)/1000000</f>
        <v>170.26758065442371</v>
      </c>
      <c r="I58" s="167">
        <f>I16*('[6]17_18 fleet_v3'!$D435/'Original 2017-18 Data'!$D15)/1000000</f>
        <v>184.58870349266519</v>
      </c>
      <c r="J58" s="167">
        <f ca="1">$I58*('Light Vehicle Supporting Data'!J56/'Light Vehicle Supporting Data'!$I56)*IF(NOT('Household Vehicle Occupancy'!$C$3),'Household Vehicle Occupancy'!J19/'Household Vehicle Occupancy'!J60,1)</f>
        <v>190.40424835180889</v>
      </c>
      <c r="K58" s="167">
        <f ca="1">$I58*('Light Vehicle Supporting Data'!K56/'Light Vehicle Supporting Data'!$I56)*IF(NOT('Household Vehicle Occupancy'!$C$3),'Household Vehicle Occupancy'!K19/'Household Vehicle Occupancy'!K60,1)</f>
        <v>176.20302757758679</v>
      </c>
      <c r="L58" s="167">
        <f ca="1">$I58*('Light Vehicle Supporting Data'!L56/'Light Vehicle Supporting Data'!$I56)*IF(NOT('Household Vehicle Occupancy'!$C$3),'Household Vehicle Occupancy'!L19/'Household Vehicle Occupancy'!L60,1)</f>
        <v>159.90833142020239</v>
      </c>
      <c r="M58" s="167">
        <f ca="1">$I58*('Light Vehicle Supporting Data'!M56/'Light Vehicle Supporting Data'!$I56)*IF(NOT('Household Vehicle Occupancy'!$C$3),'Household Vehicle Occupancy'!M19/'Household Vehicle Occupancy'!M60,1)</f>
        <v>141.05741521742928</v>
      </c>
      <c r="N58" s="167">
        <f ca="1">$I58*('Light Vehicle Supporting Data'!N56/'Light Vehicle Supporting Data'!$I56)*IF(NOT('Household Vehicle Occupancy'!$C$3),'Household Vehicle Occupancy'!N19/'Household Vehicle Occupancy'!N60,1)</f>
        <v>121.06313795561482</v>
      </c>
      <c r="O58" s="167">
        <f ca="1">$I58*('Light Vehicle Supporting Data'!O56/'Light Vehicle Supporting Data'!$I56)*IF(NOT('Household Vehicle Occupancy'!$C$3),'Household Vehicle Occupancy'!O19/'Household Vehicle Occupancy'!O60,1)</f>
        <v>100.79204139497214</v>
      </c>
      <c r="P58" s="167">
        <f ca="1">$I58*('Light Vehicle Supporting Data'!P56/'Light Vehicle Supporting Data'!$I56)*IF(NOT('Household Vehicle Occupancy'!$C$3),'Household Vehicle Occupancy'!P19/'Household Vehicle Occupancy'!P60,1)</f>
        <v>80.306367714733227</v>
      </c>
      <c r="Q58" s="198">
        <f ca="1">$I58*('Light Vehicle Supporting Data'!Q56/'Light Vehicle Supporting Data'!$I56)*IF(NOT('Household Vehicle Occupancy'!$C$3),'Household Vehicle Occupancy'!Q19/'Household Vehicle Occupancy'!Q60,1)</f>
        <v>59.859540639315362</v>
      </c>
      <c r="R58" s="56"/>
    </row>
    <row r="59" spans="3:18" ht="15.5" x14ac:dyDescent="0.35">
      <c r="C59" s="24" t="s">
        <v>10</v>
      </c>
      <c r="D59" s="55">
        <f>D17*('[1]12_13 fleet'!$D432/'Original 2012-13 Data'!$D16)/1000000</f>
        <v>59.439501451178806</v>
      </c>
      <c r="E59" s="56">
        <f>E17*('[2]13_14 fleet'!$D434/'Original 2013-14 Data'!$D16)/1000000</f>
        <v>60.405013301728083</v>
      </c>
      <c r="F59" s="56">
        <f>F17*('[3]14_15 fleet'!$D434/'Original 2014-15 Data'!$D16)/1000000</f>
        <v>67.98953092974196</v>
      </c>
      <c r="G59" s="56">
        <f>G17*('[4]15_16 fleet'!$D434/'Original 2015-16 Data'!$D16)/1000000</f>
        <v>73.024569927572202</v>
      </c>
      <c r="H59" s="56">
        <f>H17*('[5]16_17 fleet_v2'!$D434/'Original 2016-17 Data'!$D16)/1000000</f>
        <v>77.035170258726566</v>
      </c>
      <c r="I59" s="167">
        <f>I17*('[6]17_18 fleet_v3'!$D436/'Original 2017-18 Data'!$D16)/1000000</f>
        <v>83.2748567522423</v>
      </c>
      <c r="J59" s="167">
        <f ca="1">$I59*('Light Vehicle Supporting Data'!J57/'Light Vehicle Supporting Data'!$I57)*IF(NOT('Household Vehicle Occupancy'!$C$3),'Household Vehicle Occupancy'!J20/'Household Vehicle Occupancy'!J61,1)</f>
        <v>83.39637594024903</v>
      </c>
      <c r="K59" s="167">
        <f ca="1">$I59*('Light Vehicle Supporting Data'!K57/'Light Vehicle Supporting Data'!$I57)*IF(NOT('Household Vehicle Occupancy'!$C$3),'Household Vehicle Occupancy'!K20/'Household Vehicle Occupancy'!K61,1)</f>
        <v>75.052622063932702</v>
      </c>
      <c r="L59" s="167">
        <f ca="1">$I59*('Light Vehicle Supporting Data'!L57/'Light Vehicle Supporting Data'!$I57)*IF(NOT('Household Vehicle Occupancy'!$C$3),'Household Vehicle Occupancy'!L20/'Household Vehicle Occupancy'!L61,1)</f>
        <v>66.266247299186105</v>
      </c>
      <c r="M59" s="167">
        <f ca="1">$I59*('Light Vehicle Supporting Data'!M57/'Light Vehicle Supporting Data'!$I57)*IF(NOT('Household Vehicle Occupancy'!$C$3),'Household Vehicle Occupancy'!M20/'Household Vehicle Occupancy'!M61,1)</f>
        <v>56.900406847585394</v>
      </c>
      <c r="N59" s="167">
        <f ca="1">$I59*('Light Vehicle Supporting Data'!N57/'Light Vehicle Supporting Data'!$I57)*IF(NOT('Household Vehicle Occupancy'!$C$3),'Household Vehicle Occupancy'!N20/'Household Vehicle Occupancy'!N61,1)</f>
        <v>47.661952474621977</v>
      </c>
      <c r="O59" s="167">
        <f ca="1">$I59*('Light Vehicle Supporting Data'!O57/'Light Vehicle Supporting Data'!$I57)*IF(NOT('Household Vehicle Occupancy'!$C$3),'Household Vehicle Occupancy'!O20/'Household Vehicle Occupancy'!O61,1)</f>
        <v>38.719710241900181</v>
      </c>
      <c r="P59" s="167">
        <f ca="1">$I59*('Light Vehicle Supporting Data'!P57/'Light Vehicle Supporting Data'!$I57)*IF(NOT('Household Vehicle Occupancy'!$C$3),'Household Vehicle Occupancy'!P20/'Household Vehicle Occupancy'!P61,1)</f>
        <v>30.10102584839883</v>
      </c>
      <c r="Q59" s="198">
        <f ca="1">$I59*('Light Vehicle Supporting Data'!Q57/'Light Vehicle Supporting Data'!$I57)*IF(NOT('Household Vehicle Occupancy'!$C$3),'Household Vehicle Occupancy'!Q20/'Household Vehicle Occupancy'!Q61,1)</f>
        <v>21.89120304729899</v>
      </c>
      <c r="R59" s="56"/>
    </row>
    <row r="60" spans="3:18" ht="15.5" x14ac:dyDescent="0.35">
      <c r="C60" s="24" t="s">
        <v>11</v>
      </c>
      <c r="D60" s="55">
        <f>D18*('[1]12_13 fleet'!$D433/'Original 2012-13 Data'!$D17)/1000000</f>
        <v>394.35248356559106</v>
      </c>
      <c r="E60" s="56">
        <f>E18*('[2]13_14 fleet'!$D435/'Original 2013-14 Data'!$D17)/1000000</f>
        <v>421.59296217394234</v>
      </c>
      <c r="F60" s="56">
        <f>F18*('[3]14_15 fleet'!$D435/'Original 2014-15 Data'!$D17)/1000000</f>
        <v>455.46797459013692</v>
      </c>
      <c r="G60" s="56">
        <f>G18*('[4]15_16 fleet'!$D435/'Original 2015-16 Data'!$D17)/1000000</f>
        <v>496.35798648383508</v>
      </c>
      <c r="H60" s="56">
        <f>H18*('[5]16_17 fleet_v2'!$D435/'Original 2016-17 Data'!$D17)/1000000</f>
        <v>490.90225594417484</v>
      </c>
      <c r="I60" s="167">
        <f>I18*('[6]17_18 fleet_v3'!$D437/'Original 2017-18 Data'!$D17)/1000000</f>
        <v>532.67173979289907</v>
      </c>
      <c r="J60" s="167">
        <f ca="1">$I60*('Light Vehicle Supporting Data'!J58/'Light Vehicle Supporting Data'!$I58)*IF(NOT('Household Vehicle Occupancy'!$C$3),'Household Vehicle Occupancy'!J21/'Household Vehicle Occupancy'!J62,1)</f>
        <v>573.8565034070167</v>
      </c>
      <c r="K60" s="167">
        <f ca="1">$I60*('Light Vehicle Supporting Data'!K58/'Light Vehicle Supporting Data'!$I58)*IF(NOT('Household Vehicle Occupancy'!$C$3),'Household Vehicle Occupancy'!K21/'Household Vehicle Occupancy'!K62,1)</f>
        <v>548.59917334030376</v>
      </c>
      <c r="L60" s="167">
        <f ca="1">$I60*('Light Vehicle Supporting Data'!L58/'Light Vehicle Supporting Data'!$I58)*IF(NOT('Household Vehicle Occupancy'!$C$3),'Household Vehicle Occupancy'!L21/'Household Vehicle Occupancy'!L62,1)</f>
        <v>514.10605704849866</v>
      </c>
      <c r="M60" s="167">
        <f ca="1">$I60*('Light Vehicle Supporting Data'!M58/'Light Vehicle Supporting Data'!$I58)*IF(NOT('Household Vehicle Occupancy'!$C$3),'Household Vehicle Occupancy'!M21/'Household Vehicle Occupancy'!M62,1)</f>
        <v>468.45075246162764</v>
      </c>
      <c r="N60" s="167">
        <f ca="1">$I60*('Light Vehicle Supporting Data'!N58/'Light Vehicle Supporting Data'!$I58)*IF(NOT('Household Vehicle Occupancy'!$C$3),'Household Vehicle Occupancy'!N21/'Household Vehicle Occupancy'!N62,1)</f>
        <v>415.89646684938987</v>
      </c>
      <c r="O60" s="167">
        <f ca="1">$I60*('Light Vehicle Supporting Data'!O58/'Light Vehicle Supporting Data'!$I58)*IF(NOT('Household Vehicle Occupancy'!$C$3),'Household Vehicle Occupancy'!O21/'Household Vehicle Occupancy'!O62,1)</f>
        <v>358.49918395381366</v>
      </c>
      <c r="P60" s="167">
        <f ca="1">$I60*('Light Vehicle Supporting Data'!P58/'Light Vehicle Supporting Data'!$I58)*IF(NOT('Household Vehicle Occupancy'!$C$3),'Household Vehicle Occupancy'!P21/'Household Vehicle Occupancy'!P62,1)</f>
        <v>295.74398909942897</v>
      </c>
      <c r="Q60" s="198">
        <f ca="1">$I60*('Light Vehicle Supporting Data'!Q58/'Light Vehicle Supporting Data'!$I58)*IF(NOT('Household Vehicle Occupancy'!$C$3),'Household Vehicle Occupancy'!Q21/'Household Vehicle Occupancy'!Q62,1)</f>
        <v>228.25374993664715</v>
      </c>
      <c r="R60" s="56"/>
    </row>
    <row r="61" spans="3:18" ht="15.5" x14ac:dyDescent="0.35">
      <c r="C61" s="24" t="s">
        <v>12</v>
      </c>
      <c r="D61" s="55">
        <f>D19*('[1]12_13 fleet'!$D434/'Original 2012-13 Data'!$D18)/1000000</f>
        <v>184.9256970945807</v>
      </c>
      <c r="E61" s="56">
        <f>E19*('[2]13_14 fleet'!$D436/'Original 2013-14 Data'!$D18)/1000000</f>
        <v>192.96514090186992</v>
      </c>
      <c r="F61" s="56">
        <f>F19*('[3]14_15 fleet'!$D436/'Original 2014-15 Data'!$D18)/1000000</f>
        <v>208.3504382529926</v>
      </c>
      <c r="G61" s="56">
        <f>G19*('[4]15_16 fleet'!$D436/'Original 2015-16 Data'!$D18)/1000000</f>
        <v>225.73783878820186</v>
      </c>
      <c r="H61" s="56">
        <f>H19*('[5]16_17 fleet_v2'!$D436/'Original 2016-17 Data'!$D18)/1000000</f>
        <v>230.38351659138152</v>
      </c>
      <c r="I61" s="167">
        <f>I19*('[6]17_18 fleet_v3'!$D438/'Original 2017-18 Data'!$D18)/1000000</f>
        <v>251.57851697117385</v>
      </c>
      <c r="J61" s="167">
        <f ca="1">$I61*('Light Vehicle Supporting Data'!J59/'Light Vehicle Supporting Data'!$I59)*IF(NOT('Household Vehicle Occupancy'!$C$3),'Household Vehicle Occupancy'!J22/'Household Vehicle Occupancy'!J63,1)</f>
        <v>270.44305620929003</v>
      </c>
      <c r="K61" s="167">
        <f ca="1">$I61*('Light Vehicle Supporting Data'!K59/'Light Vehicle Supporting Data'!$I59)*IF(NOT('Household Vehicle Occupancy'!$C$3),'Household Vehicle Occupancy'!K22/'Household Vehicle Occupancy'!K63,1)</f>
        <v>257.39035047920532</v>
      </c>
      <c r="L61" s="167">
        <f ca="1">$I61*('Light Vehicle Supporting Data'!L59/'Light Vehicle Supporting Data'!$I59)*IF(NOT('Household Vehicle Occupancy'!$C$3),'Household Vehicle Occupancy'!L22/'Household Vehicle Occupancy'!L63,1)</f>
        <v>240.20673416615199</v>
      </c>
      <c r="M61" s="167">
        <f ca="1">$I61*('Light Vehicle Supporting Data'!M59/'Light Vehicle Supporting Data'!$I59)*IF(NOT('Household Vehicle Occupancy'!$C$3),'Household Vehicle Occupancy'!M22/'Household Vehicle Occupancy'!M63,1)</f>
        <v>217.89685897222529</v>
      </c>
      <c r="N61" s="167">
        <f ca="1">$I61*('Light Vehicle Supporting Data'!N59/'Light Vehicle Supporting Data'!$I59)*IF(NOT('Household Vehicle Occupancy'!$C$3),'Household Vehicle Occupancy'!N22/'Household Vehicle Occupancy'!N63,1)</f>
        <v>192.65703883474424</v>
      </c>
      <c r="O61" s="167">
        <f ca="1">$I61*('Light Vehicle Supporting Data'!O59/'Light Vehicle Supporting Data'!$I59)*IF(NOT('Household Vehicle Occupancy'!$C$3),'Household Vehicle Occupancy'!O22/'Household Vehicle Occupancy'!O63,1)</f>
        <v>165.27889093655455</v>
      </c>
      <c r="P61" s="167">
        <f ca="1">$I61*('Light Vehicle Supporting Data'!P59/'Light Vehicle Supporting Data'!$I59)*IF(NOT('Household Vehicle Occupancy'!$C$3),'Household Vehicle Occupancy'!P22/'Household Vehicle Occupancy'!P63,1)</f>
        <v>135.69250989247698</v>
      </c>
      <c r="Q61" s="198">
        <f ca="1">$I61*('Light Vehicle Supporting Data'!Q59/'Light Vehicle Supporting Data'!$I59)*IF(NOT('Household Vehicle Occupancy'!$C$3),'Household Vehicle Occupancy'!Q22/'Household Vehicle Occupancy'!Q63,1)</f>
        <v>104.22042200005059</v>
      </c>
      <c r="R61" s="56"/>
    </row>
    <row r="62" spans="3:18" ht="16" thickBot="1" x14ac:dyDescent="0.4">
      <c r="C62" s="25" t="s">
        <v>13</v>
      </c>
      <c r="D62" s="58">
        <f>D20*('[1]12_13 fleet'!$D435/'Original 2012-13 Data'!$D19)/1000000</f>
        <v>135.13365547635667</v>
      </c>
      <c r="E62" s="59">
        <f>E20*('[2]13_14 fleet'!$D437/'Original 2013-14 Data'!$D19)/1000000</f>
        <v>140.3447217070179</v>
      </c>
      <c r="F62" s="59">
        <f>F20*('[3]14_15 fleet'!$D437/'Original 2014-15 Data'!$D19)/1000000</f>
        <v>139.80906261109166</v>
      </c>
      <c r="G62" s="59">
        <f>G20*('[4]15_16 fleet'!$D437/'Original 2015-16 Data'!$D19)/1000000</f>
        <v>160.03317176867435</v>
      </c>
      <c r="H62" s="59">
        <f>H20*('[5]16_17 fleet_v2'!$D437/'Original 2016-17 Data'!$D19)/1000000</f>
        <v>166.48422291353953</v>
      </c>
      <c r="I62" s="171">
        <f>I20*('[6]17_18 fleet_v3'!$D439/'Original 2017-18 Data'!$D19)/1000000</f>
        <v>180.33279428008765</v>
      </c>
      <c r="J62" s="171">
        <f ca="1">$I62*('Light Vehicle Supporting Data'!J60/'Light Vehicle Supporting Data'!$I60)*IF(NOT('Household Vehicle Occupancy'!$C$3),'Household Vehicle Occupancy'!J23/'Household Vehicle Occupancy'!J64,1)</f>
        <v>182.22115594640317</v>
      </c>
      <c r="K62" s="171">
        <f ca="1">$I62*('Light Vehicle Supporting Data'!K60/'Light Vehicle Supporting Data'!$I60)*IF(NOT('Household Vehicle Occupancy'!$C$3),'Household Vehicle Occupancy'!K23/'Household Vehicle Occupancy'!K64,1)</f>
        <v>165.81798397001498</v>
      </c>
      <c r="L62" s="171">
        <f ca="1">$I62*('Light Vehicle Supporting Data'!L60/'Light Vehicle Supporting Data'!$I60)*IF(NOT('Household Vehicle Occupancy'!$C$3),'Household Vehicle Occupancy'!L23/'Household Vehicle Occupancy'!L64,1)</f>
        <v>148.23027245350755</v>
      </c>
      <c r="M62" s="171">
        <f ca="1">$I62*('Light Vehicle Supporting Data'!M60/'Light Vehicle Supporting Data'!$I60)*IF(NOT('Household Vehicle Occupancy'!$C$3),'Household Vehicle Occupancy'!M23/'Household Vehicle Occupancy'!M64,1)</f>
        <v>128.93449908555499</v>
      </c>
      <c r="N62" s="171">
        <f ca="1">$I62*('Light Vehicle Supporting Data'!N60/'Light Vehicle Supporting Data'!$I60)*IF(NOT('Household Vehicle Occupancy'!$C$3),'Household Vehicle Occupancy'!N23/'Household Vehicle Occupancy'!N64,1)</f>
        <v>109.35531486396278</v>
      </c>
      <c r="O62" s="171">
        <f ca="1">$I62*('Light Vehicle Supporting Data'!O60/'Light Vehicle Supporting Data'!$I60)*IF(NOT('Household Vehicle Occupancy'!$C$3),'Household Vehicle Occupancy'!O23/'Household Vehicle Occupancy'!O64,1)</f>
        <v>89.96186954062884</v>
      </c>
      <c r="P62" s="171">
        <f ca="1">$I62*('Light Vehicle Supporting Data'!P60/'Light Vehicle Supporting Data'!$I60)*IF(NOT('Household Vehicle Occupancy'!$C$3),'Household Vehicle Occupancy'!P23/'Household Vehicle Occupancy'!P64,1)</f>
        <v>70.821639592126573</v>
      </c>
      <c r="Q62" s="199">
        <f ca="1">$I62*('Light Vehicle Supporting Data'!Q60/'Light Vehicle Supporting Data'!$I60)*IF(NOT('Household Vehicle Occupancy'!$C$3),'Household Vehicle Occupancy'!Q23/'Household Vehicle Occupancy'!Q64,1)</f>
        <v>52.157001401774252</v>
      </c>
      <c r="R62" s="56"/>
    </row>
    <row r="63" spans="3:18" ht="16.5" thickTop="1" thickBot="1" x14ac:dyDescent="0.4">
      <c r="C63" s="31" t="s">
        <v>24</v>
      </c>
      <c r="D63" s="61">
        <f t="shared" ref="D63:N63" si="64">SUM(D49:D62)</f>
        <v>3097.514238164114</v>
      </c>
      <c r="E63" s="62">
        <f t="shared" si="64"/>
        <v>3202.9000952391398</v>
      </c>
      <c r="F63" s="62">
        <f t="shared" si="64"/>
        <v>3417.4868610195599</v>
      </c>
      <c r="G63" s="62">
        <f t="shared" ref="G63:H63" si="65">SUM(G49:G62)</f>
        <v>3732.7150892028503</v>
      </c>
      <c r="H63" s="62">
        <f t="shared" si="65"/>
        <v>3898.7530816947415</v>
      </c>
      <c r="I63" s="62">
        <f t="shared" si="64"/>
        <v>4263.1662917929953</v>
      </c>
      <c r="J63" s="62">
        <f t="shared" ca="1" si="64"/>
        <v>4488.209734860603</v>
      </c>
      <c r="K63" s="62">
        <f t="shared" ca="1" si="64"/>
        <v>4216.6295779575312</v>
      </c>
      <c r="L63" s="62">
        <f t="shared" ca="1" si="64"/>
        <v>3889.8559353909263</v>
      </c>
      <c r="M63" s="62">
        <f t="shared" ca="1" si="64"/>
        <v>3489.4999396818212</v>
      </c>
      <c r="N63" s="62">
        <f t="shared" ca="1" si="64"/>
        <v>3050.9096370763336</v>
      </c>
      <c r="O63" s="62">
        <f t="shared" ref="O63:Q63" ca="1" si="66">SUM(O49:O62)</f>
        <v>2588.457649164297</v>
      </c>
      <c r="P63" s="62">
        <f t="shared" ca="1" si="66"/>
        <v>2102.1370969176332</v>
      </c>
      <c r="Q63" s="63">
        <f t="shared" ca="1" si="66"/>
        <v>1597.4248819641109</v>
      </c>
      <c r="R63" s="56"/>
    </row>
    <row r="64" spans="3:18" ht="13" thickTop="1" x14ac:dyDescent="0.25"/>
    <row r="65" spans="3:18" ht="13" thickBot="1" x14ac:dyDescent="0.3"/>
    <row r="66" spans="3:18" ht="16" thickTop="1" x14ac:dyDescent="0.35">
      <c r="C66" s="32" t="s">
        <v>62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121"/>
    </row>
    <row r="67" spans="3:18" ht="13.5" thickBot="1" x14ac:dyDescent="0.35">
      <c r="C67" s="18"/>
      <c r="D67" s="65" t="s">
        <v>25</v>
      </c>
      <c r="E67" s="65" t="s">
        <v>37</v>
      </c>
      <c r="F67" s="65" t="s">
        <v>38</v>
      </c>
      <c r="G67" s="37" t="s">
        <v>177</v>
      </c>
      <c r="H67" s="37" t="s">
        <v>178</v>
      </c>
      <c r="I67" s="65" t="s">
        <v>26</v>
      </c>
      <c r="J67" s="65" t="s">
        <v>27</v>
      </c>
      <c r="K67" s="65" t="s">
        <v>28</v>
      </c>
      <c r="L67" s="65" t="s">
        <v>29</v>
      </c>
      <c r="M67" s="65" t="s">
        <v>30</v>
      </c>
      <c r="N67" s="65" t="s">
        <v>31</v>
      </c>
      <c r="O67" s="37" t="s">
        <v>174</v>
      </c>
      <c r="P67" s="37" t="s">
        <v>175</v>
      </c>
      <c r="Q67" s="38" t="s">
        <v>176</v>
      </c>
      <c r="R67" s="65"/>
    </row>
    <row r="68" spans="3:18" ht="14" thickTop="1" thickBot="1" x14ac:dyDescent="0.35">
      <c r="C68" s="70"/>
      <c r="D68" s="71" t="s">
        <v>39</v>
      </c>
      <c r="E68" s="71" t="s">
        <v>39</v>
      </c>
      <c r="F68" s="71" t="s">
        <v>39</v>
      </c>
      <c r="G68" s="71" t="s">
        <v>39</v>
      </c>
      <c r="H68" s="71" t="s">
        <v>39</v>
      </c>
      <c r="I68" s="71" t="s">
        <v>39</v>
      </c>
      <c r="J68" s="71" t="s">
        <v>32</v>
      </c>
      <c r="K68" s="71" t="s">
        <v>32</v>
      </c>
      <c r="L68" s="71" t="s">
        <v>32</v>
      </c>
      <c r="M68" s="71" t="s">
        <v>32</v>
      </c>
      <c r="N68" s="71" t="s">
        <v>32</v>
      </c>
      <c r="O68" s="65" t="s">
        <v>32</v>
      </c>
      <c r="P68" s="65" t="s">
        <v>32</v>
      </c>
      <c r="Q68" s="66" t="s">
        <v>32</v>
      </c>
      <c r="R68" s="65"/>
    </row>
    <row r="69" spans="3:18" ht="16" thickTop="1" x14ac:dyDescent="0.35">
      <c r="C69" s="24" t="s">
        <v>0</v>
      </c>
      <c r="D69" s="42">
        <f>'[1]12_13 fleet'!$D204*'Light Vehicle Supporting Data'!D$174</f>
        <v>15011.421065605917</v>
      </c>
      <c r="E69" s="43">
        <f>'[2]13_14 fleet'!$D205*'Light Vehicle Supporting Data'!E$174</f>
        <v>15590.144096542961</v>
      </c>
      <c r="F69" s="43">
        <f>'[3]14_15 fleet'!$D205*'Light Vehicle Supporting Data'!F$174</f>
        <v>16219.908825328273</v>
      </c>
      <c r="G69" s="43">
        <f>'[4]15_16 fleet'!$D205*'Light Vehicle Supporting Data'!G$174</f>
        <v>17172.600973675304</v>
      </c>
      <c r="H69" s="43">
        <f>'[5]16_17 fleet_v2'!$D205*'Light Vehicle Supporting Data'!H$174</f>
        <v>18474.64912645967</v>
      </c>
      <c r="I69" s="40">
        <f>'[6]17_18 fleet_v3'!$D206*'Light Vehicle Supporting Data'!I$174</f>
        <v>19611.997436914102</v>
      </c>
      <c r="J69" s="43">
        <f>$I69*('Vehicle Share Diversion Support'!J27/'Vehicle Share Diversion Support'!$I27)</f>
        <v>21164.758775747738</v>
      </c>
      <c r="K69" s="43">
        <f>$I69*('Vehicle Share Diversion Support'!K27/'Vehicle Share Diversion Support'!$I27)</f>
        <v>20135.227282923428</v>
      </c>
      <c r="L69" s="43">
        <f>$I69*('Vehicle Share Diversion Support'!L27/'Vehicle Share Diversion Support'!$I27)</f>
        <v>18748.042610273824</v>
      </c>
      <c r="M69" s="43">
        <f>$I69*('Vehicle Share Diversion Support'!M27/'Vehicle Share Diversion Support'!$I27)</f>
        <v>16984.113378615857</v>
      </c>
      <c r="N69" s="43">
        <f>$I69*('Vehicle Share Diversion Support'!N27/'Vehicle Share Diversion Support'!$I27)</f>
        <v>15053.367659490839</v>
      </c>
      <c r="O69" s="53">
        <f ca="1">$I69*('Vehicle Share Diversion Support'!O27/'Vehicle Share Diversion Support'!$I27)</f>
        <v>12718.205214858406</v>
      </c>
      <c r="P69" s="53">
        <f ca="1">$I69*('Vehicle Share Diversion Support'!P27/'Vehicle Share Diversion Support'!$I27)</f>
        <v>10286.763182230246</v>
      </c>
      <c r="Q69" s="54">
        <f ca="1">$I69*('Vehicle Share Diversion Support'!Q27/'Vehicle Share Diversion Support'!$I27)</f>
        <v>7786.5667499154188</v>
      </c>
      <c r="R69" s="56"/>
    </row>
    <row r="70" spans="3:18" ht="15.5" x14ac:dyDescent="0.35">
      <c r="C70" s="24" t="s">
        <v>1</v>
      </c>
      <c r="D70" s="42">
        <f>'[1]12_13 fleet'!$D205*'Light Vehicle Supporting Data'!D$174</f>
        <v>47050.091232001789</v>
      </c>
      <c r="E70" s="43">
        <f>'[2]13_14 fleet'!$D206*'Light Vehicle Supporting Data'!E$174</f>
        <v>49238.552892950596</v>
      </c>
      <c r="F70" s="43">
        <f>'[3]14_15 fleet'!$D206*'Light Vehicle Supporting Data'!F$174</f>
        <v>53081.050592990723</v>
      </c>
      <c r="G70" s="43">
        <f>'[4]15_16 fleet'!$D206*'Light Vehicle Supporting Data'!G$174</f>
        <v>57615.881949929884</v>
      </c>
      <c r="H70" s="43">
        <f>'[5]16_17 fleet_v2'!$D206*'Light Vehicle Supporting Data'!H$174</f>
        <v>63521.748909206115</v>
      </c>
      <c r="I70" s="43">
        <f>'[6]17_18 fleet_v3'!$D207*'Light Vehicle Supporting Data'!I$174</f>
        <v>66514.971168823817</v>
      </c>
      <c r="J70" s="43">
        <f>$I70*('Vehicle Share Diversion Support'!J28/'Vehicle Share Diversion Support'!$I28)</f>
        <v>72936.291517293736</v>
      </c>
      <c r="K70" s="43">
        <f>$I70*('Vehicle Share Diversion Support'!K28/'Vehicle Share Diversion Support'!$I28)</f>
        <v>70442.213661047732</v>
      </c>
      <c r="L70" s="43">
        <f>$I70*('Vehicle Share Diversion Support'!L28/'Vehicle Share Diversion Support'!$I28)</f>
        <v>66570.455087978728</v>
      </c>
      <c r="M70" s="43">
        <f>$I70*('Vehicle Share Diversion Support'!M28/'Vehicle Share Diversion Support'!$I28)</f>
        <v>61329.917592375343</v>
      </c>
      <c r="N70" s="43">
        <f>$I70*('Vehicle Share Diversion Support'!N28/'Vehicle Share Diversion Support'!$I28)</f>
        <v>55240.232076745458</v>
      </c>
      <c r="O70" s="56">
        <f ca="1">$I70*('Vehicle Share Diversion Support'!O28/'Vehicle Share Diversion Support'!$I28)</f>
        <v>47552.631464593338</v>
      </c>
      <c r="P70" s="56">
        <f ca="1">$I70*('Vehicle Share Diversion Support'!P28/'Vehicle Share Diversion Support'!$I28)</f>
        <v>39181.096250863418</v>
      </c>
      <c r="Q70" s="57">
        <f ca="1">$I70*('Vehicle Share Diversion Support'!Q28/'Vehicle Share Diversion Support'!$I28)</f>
        <v>30207.167150913898</v>
      </c>
      <c r="R70" s="56"/>
    </row>
    <row r="71" spans="3:18" ht="15.5" x14ac:dyDescent="0.35">
      <c r="C71" s="24" t="s">
        <v>2</v>
      </c>
      <c r="D71" s="42">
        <f>'[1]12_13 fleet'!$D206*'Light Vehicle Supporting Data'!D$174</f>
        <v>30881.155717407139</v>
      </c>
      <c r="E71" s="43">
        <f>'[2]13_14 fleet'!$D207*'Light Vehicle Supporting Data'!E$174</f>
        <v>32138.938056146824</v>
      </c>
      <c r="F71" s="43">
        <f>'[3]14_15 fleet'!$D207*'Light Vehicle Supporting Data'!F$174</f>
        <v>33670.703012618353</v>
      </c>
      <c r="G71" s="43">
        <f>'[4]15_16 fleet'!$D207*'Light Vehicle Supporting Data'!G$174</f>
        <v>35737.439059855242</v>
      </c>
      <c r="H71" s="43">
        <f>'[5]16_17 fleet_v2'!$D207*'Light Vehicle Supporting Data'!H$174</f>
        <v>38271.285715578888</v>
      </c>
      <c r="I71" s="43">
        <f>'[6]17_18 fleet_v3'!$D208*'Light Vehicle Supporting Data'!I$174</f>
        <v>40008.876759466424</v>
      </c>
      <c r="J71" s="43">
        <f>$I71*('Vehicle Share Diversion Support'!J29/'Vehicle Share Diversion Support'!$I29)</f>
        <v>43318.009507821997</v>
      </c>
      <c r="K71" s="43">
        <f>$I71*('Vehicle Share Diversion Support'!K29/'Vehicle Share Diversion Support'!$I29)</f>
        <v>41309.911332661541</v>
      </c>
      <c r="L71" s="43">
        <f>$I71*('Vehicle Share Diversion Support'!L29/'Vehicle Share Diversion Support'!$I29)</f>
        <v>38547.371187221528</v>
      </c>
      <c r="M71" s="43">
        <f>$I71*('Vehicle Share Diversion Support'!M29/'Vehicle Share Diversion Support'!$I29)</f>
        <v>34981.340096006461</v>
      </c>
      <c r="N71" s="43">
        <f>$I71*('Vehicle Share Diversion Support'!N29/'Vehicle Share Diversion Support'!$I29)</f>
        <v>31087.496732195774</v>
      </c>
      <c r="O71" s="56">
        <f ca="1">$I71*('Vehicle Share Diversion Support'!O29/'Vehicle Share Diversion Support'!$I29)</f>
        <v>26340.874851051638</v>
      </c>
      <c r="P71" s="56">
        <f ca="1">$I71*('Vehicle Share Diversion Support'!P29/'Vehicle Share Diversion Support'!$I29)</f>
        <v>21356.46630582412</v>
      </c>
      <c r="Q71" s="57">
        <f ca="1">$I71*('Vehicle Share Diversion Support'!Q29/'Vehicle Share Diversion Support'!$I29)</f>
        <v>16196.915100234604</v>
      </c>
      <c r="R71" s="56"/>
    </row>
    <row r="72" spans="3:18" ht="15.5" x14ac:dyDescent="0.35">
      <c r="C72" s="24" t="s">
        <v>3</v>
      </c>
      <c r="D72" s="42">
        <f>'[1]12_13 fleet'!$D207*'Light Vehicle Supporting Data'!D$174</f>
        <v>24733.93799092386</v>
      </c>
      <c r="E72" s="43">
        <f>'[2]13_14 fleet'!$D208*'Light Vehicle Supporting Data'!E$174</f>
        <v>25809.029401524098</v>
      </c>
      <c r="F72" s="43">
        <f>'[3]14_15 fleet'!$D208*'Light Vehicle Supporting Data'!F$174</f>
        <v>27239.503124690353</v>
      </c>
      <c r="G72" s="43">
        <f>'[4]15_16 fleet'!$D208*'Light Vehicle Supporting Data'!G$174</f>
        <v>29081.056853610178</v>
      </c>
      <c r="H72" s="43">
        <f>'[5]16_17 fleet_v2'!$D208*'Light Vehicle Supporting Data'!H$174</f>
        <v>31479.386629854256</v>
      </c>
      <c r="I72" s="43">
        <f>'[6]17_18 fleet_v3'!$D209*'Light Vehicle Supporting Data'!I$174</f>
        <v>33200.202271375572</v>
      </c>
      <c r="J72" s="43">
        <f>$I72*('Vehicle Share Diversion Support'!J30/'Vehicle Share Diversion Support'!$I30)</f>
        <v>35678.919291821032</v>
      </c>
      <c r="K72" s="43">
        <f>$I72*('Vehicle Share Diversion Support'!K30/'Vehicle Share Diversion Support'!$I30)</f>
        <v>33800.087648767847</v>
      </c>
      <c r="L72" s="43">
        <f>$I72*('Vehicle Share Diversion Support'!L30/'Vehicle Share Diversion Support'!$I30)</f>
        <v>31356.586414924252</v>
      </c>
      <c r="M72" s="43">
        <f>$I72*('Vehicle Share Diversion Support'!M30/'Vehicle Share Diversion Support'!$I30)</f>
        <v>28343.110318717572</v>
      </c>
      <c r="N72" s="43">
        <f>$I72*('Vehicle Share Diversion Support'!N30/'Vehicle Share Diversion Support'!$I30)</f>
        <v>25109.601179880578</v>
      </c>
      <c r="O72" s="56">
        <f ca="1">$I72*('Vehicle Share Diversion Support'!O30/'Vehicle Share Diversion Support'!$I30)</f>
        <v>21118.69369967169</v>
      </c>
      <c r="P72" s="56">
        <f ca="1">$I72*('Vehicle Share Diversion Support'!P30/'Vehicle Share Diversion Support'!$I30)</f>
        <v>16995.157014654447</v>
      </c>
      <c r="Q72" s="57">
        <f ca="1">$I72*('Vehicle Share Diversion Support'!Q30/'Vehicle Share Diversion Support'!$I30)</f>
        <v>12792.702636176156</v>
      </c>
      <c r="R72" s="56"/>
    </row>
    <row r="73" spans="3:18" ht="15.5" x14ac:dyDescent="0.35">
      <c r="C73" s="24" t="s">
        <v>4</v>
      </c>
      <c r="D73" s="42">
        <f>'[1]12_13 fleet'!$D208*'Light Vehicle Supporting Data'!D$174</f>
        <v>4701.5839281378976</v>
      </c>
      <c r="E73" s="43">
        <f>'[2]13_14 fleet'!$D209*'Light Vehicle Supporting Data'!E$174</f>
        <v>4908.0456224357567</v>
      </c>
      <c r="F73" s="43">
        <f>'[3]14_15 fleet'!$D209*'Light Vehicle Supporting Data'!F$174</f>
        <v>5136.9083298880314</v>
      </c>
      <c r="G73" s="43">
        <f>'[4]15_16 fleet'!$D209*'Light Vehicle Supporting Data'!G$174</f>
        <v>5378.8235842213026</v>
      </c>
      <c r="H73" s="43">
        <f>'[5]16_17 fleet_v2'!$D209*'Light Vehicle Supporting Data'!H$174</f>
        <v>5624.7299266769251</v>
      </c>
      <c r="I73" s="43">
        <f>'[6]17_18 fleet_v3'!$D210*'Light Vehicle Supporting Data'!I$174</f>
        <v>5739.3859780792436</v>
      </c>
      <c r="J73" s="43">
        <f>$I73*('Vehicle Share Diversion Support'!J31/'Vehicle Share Diversion Support'!$I31)</f>
        <v>5967.1755241709643</v>
      </c>
      <c r="K73" s="43">
        <f>$I73*('Vehicle Share Diversion Support'!K31/'Vehicle Share Diversion Support'!$I31)</f>
        <v>5602.1708160212684</v>
      </c>
      <c r="L73" s="43">
        <f>$I73*('Vehicle Share Diversion Support'!L31/'Vehicle Share Diversion Support'!$I31)</f>
        <v>5123.6834063240576</v>
      </c>
      <c r="M73" s="43">
        <f>$I73*('Vehicle Share Diversion Support'!M31/'Vehicle Share Diversion Support'!$I31)</f>
        <v>4567.9068306577083</v>
      </c>
      <c r="N73" s="43">
        <f>$I73*('Vehicle Share Diversion Support'!N31/'Vehicle Share Diversion Support'!$I31)</f>
        <v>3991.0227625018179</v>
      </c>
      <c r="O73" s="56">
        <f ca="1">$I73*('Vehicle Share Diversion Support'!O31/'Vehicle Share Diversion Support'!$I31)</f>
        <v>3294.6375253763285</v>
      </c>
      <c r="P73" s="56">
        <f ca="1">$I73*('Vehicle Share Diversion Support'!P31/'Vehicle Share Diversion Support'!$I31)</f>
        <v>2602.6613963097761</v>
      </c>
      <c r="Q73" s="57">
        <f ca="1">$I73*('Vehicle Share Diversion Support'!Q31/'Vehicle Share Diversion Support'!$I31)</f>
        <v>1923.3780058804211</v>
      </c>
      <c r="R73" s="56"/>
    </row>
    <row r="74" spans="3:18" ht="15.5" x14ac:dyDescent="0.35">
      <c r="C74" s="24" t="s">
        <v>5</v>
      </c>
      <c r="D74" s="42">
        <f>'[1]12_13 fleet'!$D209*'Light Vehicle Supporting Data'!D$174</f>
        <v>12858.585227930602</v>
      </c>
      <c r="E74" s="43">
        <f>'[2]13_14 fleet'!$D210*'Light Vehicle Supporting Data'!E$174</f>
        <v>13328.455449027428</v>
      </c>
      <c r="F74" s="43">
        <f>'[3]14_15 fleet'!$D210*'Light Vehicle Supporting Data'!F$174</f>
        <v>13718.886646689607</v>
      </c>
      <c r="G74" s="43">
        <f>'[4]15_16 fleet'!$D210*'Light Vehicle Supporting Data'!G$174</f>
        <v>14425.346960488774</v>
      </c>
      <c r="H74" s="43">
        <f>'[5]16_17 fleet_v2'!$D210*'Light Vehicle Supporting Data'!H$174</f>
        <v>15247.592278446635</v>
      </c>
      <c r="I74" s="43">
        <f>'[6]17_18 fleet_v3'!$D211*'Light Vehicle Supporting Data'!I$174</f>
        <v>15686.583038318842</v>
      </c>
      <c r="J74" s="43">
        <f>$I74*('Vehicle Share Diversion Support'!J32/'Vehicle Share Diversion Support'!$I32)</f>
        <v>16790.116191715151</v>
      </c>
      <c r="K74" s="43">
        <f>$I74*('Vehicle Share Diversion Support'!K32/'Vehicle Share Diversion Support'!$I32)</f>
        <v>15851.616161223526</v>
      </c>
      <c r="L74" s="43">
        <f>$I74*('Vehicle Share Diversion Support'!L32/'Vehicle Share Diversion Support'!$I32)</f>
        <v>14684.501125955765</v>
      </c>
      <c r="M74" s="43">
        <f>$I74*('Vehicle Share Diversion Support'!M32/'Vehicle Share Diversion Support'!$I32)</f>
        <v>13250.744464085838</v>
      </c>
      <c r="N74" s="43">
        <f>$I74*('Vehicle Share Diversion Support'!N32/'Vehicle Share Diversion Support'!$I32)</f>
        <v>11715.038598434303</v>
      </c>
      <c r="O74" s="56">
        <f ca="1">$I74*('Vehicle Share Diversion Support'!O32/'Vehicle Share Diversion Support'!$I32)</f>
        <v>9884.2656454789449</v>
      </c>
      <c r="P74" s="56">
        <f ca="1">$I74*('Vehicle Share Diversion Support'!P32/'Vehicle Share Diversion Support'!$I32)</f>
        <v>7985.4634812248305</v>
      </c>
      <c r="Q74" s="57">
        <f ca="1">$I74*('Vehicle Share Diversion Support'!Q32/'Vehicle Share Diversion Support'!$I32)</f>
        <v>6038.9684378705479</v>
      </c>
      <c r="R74" s="56"/>
    </row>
    <row r="75" spans="3:18" ht="15.5" x14ac:dyDescent="0.35">
      <c r="C75" s="24" t="s">
        <v>6</v>
      </c>
      <c r="D75" s="42">
        <f>'[1]12_13 fleet'!$D210*'Light Vehicle Supporting Data'!D$174</f>
        <v>9746.6947728164032</v>
      </c>
      <c r="E75" s="43">
        <f>'[2]13_14 fleet'!$D211*'Light Vehicle Supporting Data'!E$174</f>
        <v>10172.56398806853</v>
      </c>
      <c r="F75" s="43">
        <f>'[3]14_15 fleet'!$D211*'Light Vehicle Supporting Data'!F$174</f>
        <v>10556.628423235807</v>
      </c>
      <c r="G75" s="43">
        <f>'[4]15_16 fleet'!$D211*'Light Vehicle Supporting Data'!G$174</f>
        <v>10933.688710847453</v>
      </c>
      <c r="H75" s="43">
        <f>'[5]16_17 fleet_v2'!$D211*'Light Vehicle Supporting Data'!H$174</f>
        <v>11343.959337376662</v>
      </c>
      <c r="I75" s="43">
        <f>'[6]17_18 fleet_v3'!$D212*'Light Vehicle Supporting Data'!I$174</f>
        <v>11763.178580531876</v>
      </c>
      <c r="J75" s="43">
        <f>$I75*('Vehicle Share Diversion Support'!J33/'Vehicle Share Diversion Support'!$I33)</f>
        <v>12743.787637641453</v>
      </c>
      <c r="K75" s="43">
        <f>$I75*('Vehicle Share Diversion Support'!K33/'Vehicle Share Diversion Support'!$I33)</f>
        <v>12182.748347904009</v>
      </c>
      <c r="L75" s="43">
        <f>$I75*('Vehicle Share Diversion Support'!L33/'Vehicle Share Diversion Support'!$I33)</f>
        <v>11350.151083564886</v>
      </c>
      <c r="M75" s="43">
        <f>$I75*('Vehicle Share Diversion Support'!M33/'Vehicle Share Diversion Support'!$I33)</f>
        <v>10352.787470453695</v>
      </c>
      <c r="N75" s="43">
        <f>$I75*('Vehicle Share Diversion Support'!N33/'Vehicle Share Diversion Support'!$I33)</f>
        <v>9247.3971502464992</v>
      </c>
      <c r="O75" s="56">
        <f ca="1">$I75*('Vehicle Share Diversion Support'!O33/'Vehicle Share Diversion Support'!$I33)</f>
        <v>7868.1174164753156</v>
      </c>
      <c r="P75" s="56">
        <f ca="1">$I75*('Vehicle Share Diversion Support'!P33/'Vehicle Share Diversion Support'!$I33)</f>
        <v>6409.0713889303506</v>
      </c>
      <c r="Q75" s="57">
        <f ca="1">$I75*('Vehicle Share Diversion Support'!Q33/'Vehicle Share Diversion Support'!$I33)</f>
        <v>4885.8833218752598</v>
      </c>
      <c r="R75" s="56"/>
    </row>
    <row r="76" spans="3:18" ht="15.5" x14ac:dyDescent="0.35">
      <c r="C76" s="24" t="s">
        <v>7</v>
      </c>
      <c r="D76" s="42">
        <f>'[1]12_13 fleet'!$D211*'Light Vehicle Supporting Data'!D$174</f>
        <v>19689.834556557791</v>
      </c>
      <c r="E76" s="43">
        <f>'[2]13_14 fleet'!$D212*'Light Vehicle Supporting Data'!E$174</f>
        <v>20286.722837421166</v>
      </c>
      <c r="F76" s="43">
        <f>'[3]14_15 fleet'!$D212*'Light Vehicle Supporting Data'!F$174</f>
        <v>21202.83067902648</v>
      </c>
      <c r="G76" s="43">
        <f>'[4]15_16 fleet'!$D212*'Light Vehicle Supporting Data'!G$174</f>
        <v>22474.972230909356</v>
      </c>
      <c r="H76" s="43">
        <f>'[5]16_17 fleet_v2'!$D212*'Light Vehicle Supporting Data'!H$174</f>
        <v>23755.561781479133</v>
      </c>
      <c r="I76" s="43">
        <f>'[6]17_18 fleet_v3'!$D213*'Light Vehicle Supporting Data'!I$174</f>
        <v>24643.884250474384</v>
      </c>
      <c r="J76" s="43">
        <f>$I76*('Vehicle Share Diversion Support'!J34/'Vehicle Share Diversion Support'!$I34)</f>
        <v>26004.411813375969</v>
      </c>
      <c r="K76" s="43">
        <f>$I76*('Vehicle Share Diversion Support'!K34/'Vehicle Share Diversion Support'!$I34)</f>
        <v>24284.792060764023</v>
      </c>
      <c r="L76" s="43">
        <f>$I76*('Vehicle Share Diversion Support'!L34/'Vehicle Share Diversion Support'!$I34)</f>
        <v>22287.816551362106</v>
      </c>
      <c r="M76" s="43">
        <f>$I76*('Vehicle Share Diversion Support'!M34/'Vehicle Share Diversion Support'!$I34)</f>
        <v>19892.517933775453</v>
      </c>
      <c r="N76" s="43">
        <f>$I76*('Vehicle Share Diversion Support'!N34/'Vehicle Share Diversion Support'!$I34)</f>
        <v>17404.268214022079</v>
      </c>
      <c r="O76" s="56">
        <f ca="1">$I76*('Vehicle Share Diversion Support'!O34/'Vehicle Share Diversion Support'!$I34)</f>
        <v>14519.647484213738</v>
      </c>
      <c r="P76" s="56">
        <f ca="1">$I76*('Vehicle Share Diversion Support'!P34/'Vehicle Share Diversion Support'!$I34)</f>
        <v>11598.075044003335</v>
      </c>
      <c r="Q76" s="57">
        <f ca="1">$I76*('Vehicle Share Diversion Support'!Q34/'Vehicle Share Diversion Support'!$I34)</f>
        <v>8671.6975357376159</v>
      </c>
      <c r="R76" s="56"/>
    </row>
    <row r="77" spans="3:18" ht="15.5" x14ac:dyDescent="0.35">
      <c r="C77" s="24" t="s">
        <v>8</v>
      </c>
      <c r="D77" s="42">
        <f>'[1]12_13 fleet'!$D212*'Light Vehicle Supporting Data'!D$174</f>
        <v>19208.292427213477</v>
      </c>
      <c r="E77" s="43">
        <f>'[2]13_14 fleet'!$D213*'Light Vehicle Supporting Data'!E$174</f>
        <v>19829.551579196745</v>
      </c>
      <c r="F77" s="43">
        <f>'[3]14_15 fleet'!$D213*'Light Vehicle Supporting Data'!F$174</f>
        <v>20656.329655686117</v>
      </c>
      <c r="G77" s="43">
        <f>'[4]15_16 fleet'!$D213*'Light Vehicle Supporting Data'!G$174</f>
        <v>21784.889384682348</v>
      </c>
      <c r="H77" s="43">
        <f>'[5]16_17 fleet_v2'!$D213*'Light Vehicle Supporting Data'!H$174</f>
        <v>23294.122811623063</v>
      </c>
      <c r="I77" s="43">
        <f>'[6]17_18 fleet_v3'!$D214*'Light Vehicle Supporting Data'!I$174</f>
        <v>24817.744130391686</v>
      </c>
      <c r="J77" s="43">
        <f>$I77*('Vehicle Share Diversion Support'!J35/'Vehicle Share Diversion Support'!$I35)</f>
        <v>26781.168813492764</v>
      </c>
      <c r="K77" s="43">
        <f>$I77*('Vehicle Share Diversion Support'!K35/'Vehicle Share Diversion Support'!$I35)</f>
        <v>25574.02766238038</v>
      </c>
      <c r="L77" s="43">
        <f>$I77*('Vehicle Share Diversion Support'!L35/'Vehicle Share Diversion Support'!$I35)</f>
        <v>23830.419466061023</v>
      </c>
      <c r="M77" s="43">
        <f>$I77*('Vehicle Share Diversion Support'!M35/'Vehicle Share Diversion Support'!$I35)</f>
        <v>21718.837252816589</v>
      </c>
      <c r="N77" s="43">
        <f>$I77*('Vehicle Share Diversion Support'!N35/'Vehicle Share Diversion Support'!$I35)</f>
        <v>19372.162473597269</v>
      </c>
      <c r="O77" s="56">
        <f ca="1">$I77*('Vehicle Share Diversion Support'!O35/'Vehicle Share Diversion Support'!$I35)</f>
        <v>16499.466981038699</v>
      </c>
      <c r="P77" s="56">
        <f ca="1">$I77*('Vehicle Share Diversion Support'!P35/'Vehicle Share Diversion Support'!$I35)</f>
        <v>13450.89455267274</v>
      </c>
      <c r="Q77" s="57">
        <f ca="1">$I77*('Vehicle Share Diversion Support'!Q35/'Vehicle Share Diversion Support'!$I35)</f>
        <v>10260.648853810726</v>
      </c>
      <c r="R77" s="56"/>
    </row>
    <row r="78" spans="3:18" ht="15.5" x14ac:dyDescent="0.35">
      <c r="C78" s="24" t="s">
        <v>9</v>
      </c>
      <c r="D78" s="42">
        <f>'[1]12_13 fleet'!$D213*'Light Vehicle Supporting Data'!D$174</f>
        <v>15421.437062767289</v>
      </c>
      <c r="E78" s="43">
        <f>'[2]13_14 fleet'!$D214*'Light Vehicle Supporting Data'!E$174</f>
        <v>15900.295522827371</v>
      </c>
      <c r="F78" s="43">
        <f>'[3]14_15 fleet'!$D214*'Light Vehicle Supporting Data'!F$174</f>
        <v>16500.707693674427</v>
      </c>
      <c r="G78" s="43">
        <f>'[4]15_16 fleet'!$D214*'Light Vehicle Supporting Data'!G$174</f>
        <v>17341.60085438396</v>
      </c>
      <c r="H78" s="43">
        <f>'[5]16_17 fleet_v2'!$D214*'Light Vehicle Supporting Data'!H$174</f>
        <v>18201.203810989406</v>
      </c>
      <c r="I78" s="43">
        <f>'[6]17_18 fleet_v3'!$D215*'Light Vehicle Supporting Data'!I$174</f>
        <v>19039.164306550738</v>
      </c>
      <c r="J78" s="43">
        <f>$I78*('Vehicle Share Diversion Support'!J36/'Vehicle Share Diversion Support'!$I36)</f>
        <v>20107.773890474738</v>
      </c>
      <c r="K78" s="43">
        <f>$I78*('Vehicle Share Diversion Support'!K36/'Vehicle Share Diversion Support'!$I36)</f>
        <v>18864.88620079459</v>
      </c>
      <c r="L78" s="43">
        <f>$I78*('Vehicle Share Diversion Support'!L36/'Vehicle Share Diversion Support'!$I36)</f>
        <v>17251.871442336953</v>
      </c>
      <c r="M78" s="43">
        <f>$I78*('Vehicle Share Diversion Support'!M36/'Vehicle Share Diversion Support'!$I36)</f>
        <v>15300.813930750228</v>
      </c>
      <c r="N78" s="43">
        <f>$I78*('Vehicle Share Diversion Support'!N36/'Vehicle Share Diversion Support'!$I36)</f>
        <v>13298.049742699748</v>
      </c>
      <c r="O78" s="56">
        <f ca="1">$I78*('Vehicle Share Diversion Support'!O36/'Vehicle Share Diversion Support'!$I36)</f>
        <v>11064.837480247597</v>
      </c>
      <c r="P78" s="56">
        <f ca="1">$I78*('Vehicle Share Diversion Support'!P36/'Vehicle Share Diversion Support'!$I36)</f>
        <v>8810.6758387072296</v>
      </c>
      <c r="Q78" s="57">
        <f ca="1">$I78*('Vehicle Share Diversion Support'!Q36/'Vehicle Share Diversion Support'!$I36)</f>
        <v>6563.4302987962074</v>
      </c>
      <c r="R78" s="56"/>
    </row>
    <row r="79" spans="3:18" ht="15.5" x14ac:dyDescent="0.35">
      <c r="C79" s="24" t="s">
        <v>10</v>
      </c>
      <c r="D79" s="42">
        <f>'[1]12_13 fleet'!$D214*'Light Vehicle Supporting Data'!D$174</f>
        <v>3982.2929650587334</v>
      </c>
      <c r="E79" s="43">
        <f>'[2]13_14 fleet'!$D215*'Light Vehicle Supporting Data'!E$174</f>
        <v>4063.1850813558226</v>
      </c>
      <c r="F79" s="43">
        <f>'[3]14_15 fleet'!$D215*'Light Vehicle Supporting Data'!F$174</f>
        <v>4157.6348571252856</v>
      </c>
      <c r="G79" s="43">
        <f>'[4]15_16 fleet'!$D215*'Light Vehicle Supporting Data'!G$174</f>
        <v>4197.8363226024858</v>
      </c>
      <c r="H79" s="43">
        <f>'[5]16_17 fleet_v2'!$D215*'Light Vehicle Supporting Data'!H$174</f>
        <v>4314.8062279351852</v>
      </c>
      <c r="I79" s="43">
        <f>'[6]17_18 fleet_v3'!$D216*'Light Vehicle Supporting Data'!I$174</f>
        <v>4378.6560508652183</v>
      </c>
      <c r="J79" s="43">
        <f>$I79*('Vehicle Share Diversion Support'!J37/'Vehicle Share Diversion Support'!$I37)</f>
        <v>4431.3944582004424</v>
      </c>
      <c r="K79" s="43">
        <f>$I79*('Vehicle Share Diversion Support'!K37/'Vehicle Share Diversion Support'!$I37)</f>
        <v>4046.1115215693835</v>
      </c>
      <c r="L79" s="43">
        <f>$I79*('Vehicle Share Diversion Support'!L37/'Vehicle Share Diversion Support'!$I37)</f>
        <v>3549.373494355591</v>
      </c>
      <c r="M79" s="43">
        <f>$I79*('Vehicle Share Diversion Support'!M37/'Vehicle Share Diversion Support'!$I37)</f>
        <v>3079.9528198789822</v>
      </c>
      <c r="N79" s="43">
        <f>$I79*('Vehicle Share Diversion Support'!N37/'Vehicle Share Diversion Support'!$I37)</f>
        <v>2623.5922774285109</v>
      </c>
      <c r="O79" s="56">
        <f ca="1">$I79*('Vehicle Share Diversion Support'!O37/'Vehicle Share Diversion Support'!$I37)</f>
        <v>2130.1002347991894</v>
      </c>
      <c r="P79" s="56">
        <f ca="1">$I79*('Vehicle Share Diversion Support'!P37/'Vehicle Share Diversion Support'!$I37)</f>
        <v>1654.970780828661</v>
      </c>
      <c r="Q79" s="57">
        <f ca="1">$I79*('Vehicle Share Diversion Support'!Q37/'Vehicle Share Diversion Support'!$I37)</f>
        <v>1202.8668770069387</v>
      </c>
      <c r="R79" s="56"/>
    </row>
    <row r="80" spans="3:18" ht="15.5" x14ac:dyDescent="0.35">
      <c r="C80" s="24" t="s">
        <v>11</v>
      </c>
      <c r="D80" s="42">
        <f>'[1]12_13 fleet'!$D215*'Light Vehicle Supporting Data'!D$174</f>
        <v>40531.139100229702</v>
      </c>
      <c r="E80" s="43">
        <f>'[2]13_14 fleet'!$D216*'Light Vehicle Supporting Data'!E$174</f>
        <v>42474.633638559753</v>
      </c>
      <c r="F80" s="43">
        <f>'[3]14_15 fleet'!$D216*'Light Vehicle Supporting Data'!F$174</f>
        <v>44574.555842948866</v>
      </c>
      <c r="G80" s="43">
        <f>'[4]15_16 fleet'!$D216*'Light Vehicle Supporting Data'!G$174</f>
        <v>46518.223116728201</v>
      </c>
      <c r="H80" s="43">
        <f>'[5]16_17 fleet_v2'!$D216*'Light Vehicle Supporting Data'!H$174</f>
        <v>48291.246962976365</v>
      </c>
      <c r="I80" s="43">
        <f>'[6]17_18 fleet_v3'!$D217*'Light Vehicle Supporting Data'!I$174</f>
        <v>49448.563765612169</v>
      </c>
      <c r="J80" s="43">
        <f>$I80*('Vehicle Share Diversion Support'!J38/'Vehicle Share Diversion Support'!$I38)</f>
        <v>54485.300533689406</v>
      </c>
      <c r="K80" s="43">
        <f>$I80*('Vehicle Share Diversion Support'!K38/'Vehicle Share Diversion Support'!$I38)</f>
        <v>52809.895175816455</v>
      </c>
      <c r="L80" s="43">
        <f>$I80*('Vehicle Share Diversion Support'!L38/'Vehicle Share Diversion Support'!$I38)</f>
        <v>49987.353116525082</v>
      </c>
      <c r="M80" s="43">
        <f>$I80*('Vehicle Share Diversion Support'!M38/'Vehicle Share Diversion Support'!$I38)</f>
        <v>46074.923823764213</v>
      </c>
      <c r="N80" s="43">
        <f>$I80*('Vehicle Share Diversion Support'!N38/'Vehicle Share Diversion Support'!$I38)</f>
        <v>41529.395770077623</v>
      </c>
      <c r="O80" s="56">
        <f ca="1">$I80*('Vehicle Share Diversion Support'!O38/'Vehicle Share Diversion Support'!$I38)</f>
        <v>35776.566462414579</v>
      </c>
      <c r="P80" s="56">
        <f ca="1">$I80*('Vehicle Share Diversion Support'!P38/'Vehicle Share Diversion Support'!$I38)</f>
        <v>29496.073500458522</v>
      </c>
      <c r="Q80" s="57">
        <f ca="1">$I80*('Vehicle Share Diversion Support'!Q38/'Vehicle Share Diversion Support'!$I38)</f>
        <v>22751.07020304817</v>
      </c>
      <c r="R80" s="56"/>
    </row>
    <row r="81" spans="3:27" ht="15.5" x14ac:dyDescent="0.35">
      <c r="C81" s="24" t="s">
        <v>12</v>
      </c>
      <c r="D81" s="42">
        <f>'[1]12_13 fleet'!$D216*'Light Vehicle Supporting Data'!D$174</f>
        <v>14539.95303938596</v>
      </c>
      <c r="E81" s="43">
        <f>'[2]13_14 fleet'!$D217*'Light Vehicle Supporting Data'!E$174</f>
        <v>15070.539759001547</v>
      </c>
      <c r="F81" s="43">
        <f>'[3]14_15 fleet'!$D217*'Light Vehicle Supporting Data'!F$174</f>
        <v>15761.975186985983</v>
      </c>
      <c r="G81" s="43">
        <f>'[4]15_16 fleet'!$D217*'Light Vehicle Supporting Data'!G$174</f>
        <v>16762.172691954285</v>
      </c>
      <c r="H81" s="43">
        <f>'[5]16_17 fleet_v2'!$D217*'Light Vehicle Supporting Data'!H$174</f>
        <v>18151.943441658368</v>
      </c>
      <c r="I81" s="43">
        <f>'[6]17_18 fleet_v3'!$D218*'Light Vehicle Supporting Data'!I$174</f>
        <v>26366.403523181059</v>
      </c>
      <c r="J81" s="43">
        <f>$I81*('Vehicle Share Diversion Support'!J39/'Vehicle Share Diversion Support'!$I39)</f>
        <v>28920.244824272737</v>
      </c>
      <c r="K81" s="43">
        <f>$I81*('Vehicle Share Diversion Support'!K39/'Vehicle Share Diversion Support'!$I39)</f>
        <v>27918.593335695259</v>
      </c>
      <c r="L81" s="43">
        <f>$I81*('Vehicle Share Diversion Support'!L39/'Vehicle Share Diversion Support'!$I39)</f>
        <v>26283.402299716137</v>
      </c>
      <c r="M81" s="43">
        <f>$I81*('Vehicle Share Diversion Support'!M39/'Vehicle Share Diversion Support'!$I39)</f>
        <v>24121.079161811544</v>
      </c>
      <c r="N81" s="43">
        <f>$I81*('Vehicle Share Diversion Support'!N39/'Vehicle Share Diversion Support'!$I39)</f>
        <v>21649.664875962644</v>
      </c>
      <c r="O81" s="56">
        <f ca="1">$I81*('Vehicle Share Diversion Support'!O39/'Vehicle Share Diversion Support'!$I39)</f>
        <v>18562.032660955425</v>
      </c>
      <c r="P81" s="56">
        <f ca="1">$I81*('Vehicle Share Diversion Support'!P39/'Vehicle Share Diversion Support'!$I39)</f>
        <v>15230.127557512591</v>
      </c>
      <c r="Q81" s="57">
        <f ca="1">$I81*('Vehicle Share Diversion Support'!Q39/'Vehicle Share Diversion Support'!$I39)</f>
        <v>11690.627919463554</v>
      </c>
      <c r="R81" s="56"/>
    </row>
    <row r="82" spans="3:27" ht="16" thickBot="1" x14ac:dyDescent="0.4">
      <c r="C82" s="25" t="s">
        <v>13</v>
      </c>
      <c r="D82" s="45">
        <f>'[1]12_13 fleet'!$D217*'Light Vehicle Supporting Data'!D$174</f>
        <v>11362.580913963433</v>
      </c>
      <c r="E82" s="46">
        <f>'[2]13_14 fleet'!$D218*'Light Vehicle Supporting Data'!E$174</f>
        <v>11726.342074941402</v>
      </c>
      <c r="F82" s="46">
        <f>'[3]14_15 fleet'!$D218*'Light Vehicle Supporting Data'!F$174</f>
        <v>12078.377129111728</v>
      </c>
      <c r="G82" s="46">
        <f>'[4]15_16 fleet'!$D218*'Light Vehicle Supporting Data'!G$174</f>
        <v>12586.467306111264</v>
      </c>
      <c r="H82" s="46">
        <f>'[5]16_17 fleet_v2'!$D218*'Light Vehicle Supporting Data'!H$174</f>
        <v>13198.763039739295</v>
      </c>
      <c r="I82" s="46">
        <f>'[6]17_18 fleet_v3'!$D219*'Light Vehicle Supporting Data'!I$174</f>
        <v>13625.388739414881</v>
      </c>
      <c r="J82" s="46">
        <f>$I82*('Vehicle Share Diversion Support'!J40/'Vehicle Share Diversion Support'!$I40)</f>
        <v>14056.151625900311</v>
      </c>
      <c r="K82" s="46">
        <f>$I82*('Vehicle Share Diversion Support'!K40/'Vehicle Share Diversion Support'!$I40)</f>
        <v>12954.506832238985</v>
      </c>
      <c r="L82" s="46">
        <f>$I82*('Vehicle Share Diversion Support'!L40/'Vehicle Share Diversion Support'!$I40)</f>
        <v>11717.800410119506</v>
      </c>
      <c r="M82" s="46">
        <f>$I82*('Vehicle Share Diversion Support'!M40/'Vehicle Share Diversion Support'!$I40)</f>
        <v>10324.917477971176</v>
      </c>
      <c r="N82" s="46">
        <f>$I82*('Vehicle Share Diversion Support'!N40/'Vehicle Share Diversion Support'!$I40)</f>
        <v>8904.2616876430111</v>
      </c>
      <c r="O82" s="59">
        <f ca="1">$I82*('Vehicle Share Diversion Support'!O40/'Vehicle Share Diversion Support'!$I40)</f>
        <v>7320.8198015290873</v>
      </c>
      <c r="P82" s="59">
        <f ca="1">$I82*('Vehicle Share Diversion Support'!P40/'Vehicle Share Diversion Support'!$I40)</f>
        <v>5759.8094096643908</v>
      </c>
      <c r="Q82" s="60">
        <f ca="1">$I82*('Vehicle Share Diversion Support'!Q40/'Vehicle Share Diversion Support'!$I40)</f>
        <v>4239.2931964590225</v>
      </c>
      <c r="R82" s="56"/>
    </row>
    <row r="83" spans="3:27" ht="16.5" thickTop="1" thickBot="1" x14ac:dyDescent="0.4">
      <c r="C83" s="20" t="s">
        <v>24</v>
      </c>
      <c r="D83" s="48">
        <f t="shared" ref="D83:N83" si="67">SUM(D69:D82)</f>
        <v>269719</v>
      </c>
      <c r="E83" s="48">
        <f t="shared" si="67"/>
        <v>280536.99999999994</v>
      </c>
      <c r="F83" s="48">
        <f t="shared" si="67"/>
        <v>294556.00000000006</v>
      </c>
      <c r="G83" s="48">
        <f t="shared" ref="G83:H83" si="68">SUM(G69:G82)</f>
        <v>312011.00000000006</v>
      </c>
      <c r="H83" s="48">
        <f t="shared" si="68"/>
        <v>333170.99999999994</v>
      </c>
      <c r="I83" s="48">
        <f t="shared" si="67"/>
        <v>354845.00000000006</v>
      </c>
      <c r="J83" s="48">
        <f t="shared" si="67"/>
        <v>383385.50440561841</v>
      </c>
      <c r="K83" s="48">
        <f t="shared" si="67"/>
        <v>365776.78803980839</v>
      </c>
      <c r="L83" s="48">
        <f t="shared" si="67"/>
        <v>341288.82769671944</v>
      </c>
      <c r="M83" s="48">
        <f t="shared" si="67"/>
        <v>310322.96255168068</v>
      </c>
      <c r="N83" s="48">
        <f t="shared" si="67"/>
        <v>276225.55120092619</v>
      </c>
      <c r="O83" s="62">
        <f t="shared" ref="O83:Q83" ca="1" si="69">SUM(O69:O82)</f>
        <v>234650.89692270395</v>
      </c>
      <c r="P83" s="62">
        <f t="shared" ca="1" si="69"/>
        <v>190817.3057038846</v>
      </c>
      <c r="Q83" s="63">
        <f t="shared" ca="1" si="69"/>
        <v>145211.21628718852</v>
      </c>
      <c r="R83" s="43"/>
    </row>
    <row r="84" spans="3:27" ht="16.5" thickTop="1" thickBot="1" x14ac:dyDescent="0.4">
      <c r="C84" s="31" t="s">
        <v>96</v>
      </c>
      <c r="D84" s="48">
        <f>SUM('[1]12_13 fleet'!$D$203:$D$217)</f>
        <v>269719</v>
      </c>
      <c r="E84" s="48">
        <f>SUM('[2]13_14 fleet'!$D$204:$D$218)</f>
        <v>280537</v>
      </c>
      <c r="F84" s="48">
        <f>SUM('[3]14_15 fleet'!$D$204:$D$218)</f>
        <v>294556</v>
      </c>
      <c r="G84" s="48">
        <f>SUM('[4]15_16 fleet'!$D$204:$D$218)</f>
        <v>312011</v>
      </c>
      <c r="H84" s="48">
        <f>SUM('[5]16_17 fleet_v2'!$D$204:$D$218)</f>
        <v>333171</v>
      </c>
      <c r="I84" s="48">
        <f>SUM('[6]17_18 fleet_v3'!$D$205:$D$219)</f>
        <v>354845</v>
      </c>
      <c r="J84" s="62"/>
      <c r="K84" s="62"/>
      <c r="L84" s="62"/>
      <c r="M84" s="62"/>
      <c r="N84" s="62"/>
      <c r="O84" s="62"/>
      <c r="P84" s="62"/>
      <c r="Q84" s="63"/>
      <c r="R84" s="56"/>
    </row>
    <row r="85" spans="3:27" ht="13" thickTop="1" x14ac:dyDescent="0.25"/>
    <row r="86" spans="3:27" ht="13" thickBot="1" x14ac:dyDescent="0.3"/>
    <row r="87" spans="3:27" ht="16" thickTop="1" x14ac:dyDescent="0.35">
      <c r="C87" s="32" t="s">
        <v>128</v>
      </c>
      <c r="D87" s="33"/>
      <c r="E87" s="33"/>
      <c r="F87" s="33"/>
      <c r="G87" s="33"/>
      <c r="H87" s="33"/>
      <c r="I87" s="33"/>
      <c r="J87" s="34"/>
      <c r="K87" s="34"/>
      <c r="L87" s="34"/>
      <c r="M87" s="34"/>
      <c r="N87" s="34"/>
      <c r="O87" s="34"/>
      <c r="P87" s="34"/>
      <c r="Q87" s="35"/>
      <c r="R87" s="121"/>
    </row>
    <row r="88" spans="3:27" ht="13.5" thickBot="1" x14ac:dyDescent="0.35">
      <c r="C88" s="36"/>
      <c r="D88" s="37" t="s">
        <v>25</v>
      </c>
      <c r="E88" s="37" t="s">
        <v>37</v>
      </c>
      <c r="F88" s="37" t="s">
        <v>38</v>
      </c>
      <c r="G88" s="37" t="s">
        <v>177</v>
      </c>
      <c r="H88" s="37" t="s">
        <v>178</v>
      </c>
      <c r="I88" s="37" t="s">
        <v>26</v>
      </c>
      <c r="J88" s="37" t="s">
        <v>27</v>
      </c>
      <c r="K88" s="37" t="s">
        <v>28</v>
      </c>
      <c r="L88" s="37" t="s">
        <v>29</v>
      </c>
      <c r="M88" s="37" t="s">
        <v>30</v>
      </c>
      <c r="N88" s="37" t="s">
        <v>31</v>
      </c>
      <c r="O88" s="37" t="s">
        <v>174</v>
      </c>
      <c r="P88" s="37" t="s">
        <v>175</v>
      </c>
      <c r="Q88" s="38" t="s">
        <v>176</v>
      </c>
      <c r="R88" s="65"/>
    </row>
    <row r="89" spans="3:27" ht="14" thickTop="1" thickBot="1" x14ac:dyDescent="0.35">
      <c r="C89" s="70"/>
      <c r="D89" s="65" t="s">
        <v>39</v>
      </c>
      <c r="E89" s="65" t="s">
        <v>39</v>
      </c>
      <c r="F89" s="65" t="s">
        <v>39</v>
      </c>
      <c r="G89" s="65" t="s">
        <v>39</v>
      </c>
      <c r="H89" s="65" t="s">
        <v>39</v>
      </c>
      <c r="I89" s="65" t="s">
        <v>39</v>
      </c>
      <c r="J89" s="65" t="s">
        <v>32</v>
      </c>
      <c r="K89" s="65" t="s">
        <v>32</v>
      </c>
      <c r="L89" s="65" t="s">
        <v>32</v>
      </c>
      <c r="M89" s="65" t="s">
        <v>32</v>
      </c>
      <c r="N89" s="65" t="s">
        <v>32</v>
      </c>
      <c r="O89" s="65" t="s">
        <v>32</v>
      </c>
      <c r="P89" s="65" t="s">
        <v>32</v>
      </c>
      <c r="Q89" s="66" t="s">
        <v>32</v>
      </c>
      <c r="R89" s="65"/>
      <c r="S89" s="56"/>
      <c r="T89" s="56"/>
      <c r="U89" s="56"/>
      <c r="V89" s="56"/>
      <c r="W89" s="56"/>
      <c r="X89" s="56"/>
      <c r="Y89" s="56"/>
      <c r="Z89" s="56"/>
      <c r="AA89" s="56"/>
    </row>
    <row r="90" spans="3:27" ht="16" thickTop="1" x14ac:dyDescent="0.35">
      <c r="C90" s="24" t="s">
        <v>0</v>
      </c>
      <c r="D90" s="52">
        <f>'Vehicle Share Diversion Support'!D86</f>
        <v>123.18200576581287</v>
      </c>
      <c r="E90" s="53">
        <f>'Vehicle Share Diversion Support'!E86</f>
        <v>133.99119481901039</v>
      </c>
      <c r="F90" s="53">
        <f>'Vehicle Share Diversion Support'!F86</f>
        <v>144.58018892751744</v>
      </c>
      <c r="G90" s="53">
        <f>'Vehicle Share Diversion Support'!G86</f>
        <v>149.01755583123835</v>
      </c>
      <c r="H90" s="53">
        <f>'Vehicle Share Diversion Support'!H86</f>
        <v>158.09913792085203</v>
      </c>
      <c r="I90" s="53">
        <f>'Vehicle Share Diversion Support'!I86</f>
        <v>179.26810856667868</v>
      </c>
      <c r="J90" s="53">
        <f>'Vehicle Share Diversion Support'!J86*(1-'Vehicle Share Diversion Support'!J106)</f>
        <v>204.87023614920903</v>
      </c>
      <c r="K90" s="53">
        <f>'Vehicle Share Diversion Support'!K86*(1-'Vehicle Share Diversion Support'!K106)</f>
        <v>228.39770459224846</v>
      </c>
      <c r="L90" s="53">
        <f>'Vehicle Share Diversion Support'!L86*(1-'Vehicle Share Diversion Support'!L106)</f>
        <v>251.6411333949539</v>
      </c>
      <c r="M90" s="53">
        <f>'Vehicle Share Diversion Support'!M86*(1-'Vehicle Share Diversion Support'!M106)</f>
        <v>276.2904086196906</v>
      </c>
      <c r="N90" s="53">
        <f>'Vehicle Share Diversion Support'!N86*(1-'Vehicle Share Diversion Support'!N106)</f>
        <v>303.00486598557501</v>
      </c>
      <c r="O90" s="53">
        <f>'Vehicle Share Diversion Support'!O86*(1-'Vehicle Share Diversion Support'!O106)</f>
        <v>331.42117330907314</v>
      </c>
      <c r="P90" s="53">
        <f>'Vehicle Share Diversion Support'!P86*(1-'Vehicle Share Diversion Support'!P106)</f>
        <v>359.64128693590527</v>
      </c>
      <c r="Q90" s="54">
        <f>'Vehicle Share Diversion Support'!Q86*(1-'Vehicle Share Diversion Support'!Q106)</f>
        <v>386.4851061083391</v>
      </c>
      <c r="R90" s="56"/>
      <c r="S90" s="56"/>
      <c r="T90" s="56"/>
      <c r="U90" s="56"/>
      <c r="V90" s="56"/>
      <c r="W90" s="56"/>
      <c r="X90" s="56"/>
      <c r="Y90" s="56"/>
      <c r="Z90" s="56"/>
      <c r="AA90" s="56"/>
    </row>
    <row r="91" spans="3:27" ht="15.5" x14ac:dyDescent="0.35">
      <c r="C91" s="24" t="s">
        <v>1</v>
      </c>
      <c r="D91" s="55">
        <f>'Vehicle Share Diversion Support'!D87</f>
        <v>796.91126556532868</v>
      </c>
      <c r="E91" s="56">
        <f>'Vehicle Share Diversion Support'!E87</f>
        <v>836.71681085294404</v>
      </c>
      <c r="F91" s="56">
        <f>'Vehicle Share Diversion Support'!F87</f>
        <v>878.13557647721814</v>
      </c>
      <c r="G91" s="56">
        <f>'Vehicle Share Diversion Support'!G87</f>
        <v>964.2349908010907</v>
      </c>
      <c r="H91" s="56">
        <f>'Vehicle Share Diversion Support'!H87</f>
        <v>1103.5760688482669</v>
      </c>
      <c r="I91" s="56">
        <f>'Vehicle Share Diversion Support'!I87</f>
        <v>1145.0954026991631</v>
      </c>
      <c r="J91" s="56">
        <f>'Vehicle Share Diversion Support'!J87*(1-'Vehicle Share Diversion Support'!J107)</f>
        <v>1336.4392894722262</v>
      </c>
      <c r="K91" s="56">
        <f>'Vehicle Share Diversion Support'!K87*(1-'Vehicle Share Diversion Support'!K107)</f>
        <v>1514.7661402216436</v>
      </c>
      <c r="L91" s="56">
        <f>'Vehicle Share Diversion Support'!L87*(1-'Vehicle Share Diversion Support'!L107)</f>
        <v>1699.0333474753243</v>
      </c>
      <c r="M91" s="56">
        <f>'Vehicle Share Diversion Support'!M87*(1-'Vehicle Share Diversion Support'!M107)</f>
        <v>1899.2097034733067</v>
      </c>
      <c r="N91" s="56">
        <f>'Vehicle Share Diversion Support'!N87*(1-'Vehicle Share Diversion Support'!N107)</f>
        <v>2122.541093146051</v>
      </c>
      <c r="O91" s="56">
        <f>'Vehicle Share Diversion Support'!O87*(1-'Vehicle Share Diversion Support'!O107)</f>
        <v>2365.4493633770089</v>
      </c>
      <c r="P91" s="56">
        <f>'Vehicle Share Diversion Support'!P87*(1-'Vehicle Share Diversion Support'!P107)</f>
        <v>2614.8818028616288</v>
      </c>
      <c r="Q91" s="57">
        <f>'Vehicle Share Diversion Support'!Q87*(1-'Vehicle Share Diversion Support'!Q107)</f>
        <v>2862.0777577750127</v>
      </c>
      <c r="R91" s="56"/>
      <c r="S91" s="56"/>
      <c r="T91" s="56"/>
      <c r="U91" s="56"/>
      <c r="V91" s="56"/>
      <c r="W91" s="56"/>
      <c r="X91" s="56"/>
      <c r="Y91" s="56"/>
      <c r="Z91" s="56"/>
      <c r="AA91" s="56"/>
    </row>
    <row r="92" spans="3:27" ht="15.5" x14ac:dyDescent="0.35">
      <c r="C92" s="24" t="s">
        <v>2</v>
      </c>
      <c r="D92" s="55">
        <f>'Vehicle Share Diversion Support'!D88</f>
        <v>408.85730536135173</v>
      </c>
      <c r="E92" s="56">
        <f>'Vehicle Share Diversion Support'!E88</f>
        <v>431.07674572912146</v>
      </c>
      <c r="F92" s="56">
        <f>'Vehicle Share Diversion Support'!F88</f>
        <v>474.23591970394472</v>
      </c>
      <c r="G92" s="56">
        <f>'Vehicle Share Diversion Support'!G88</f>
        <v>489.26799966914183</v>
      </c>
      <c r="H92" s="56">
        <f>'Vehicle Share Diversion Support'!H88</f>
        <v>553.16275518529289</v>
      </c>
      <c r="I92" s="56">
        <f>'Vehicle Share Diversion Support'!I88</f>
        <v>635.79017599625217</v>
      </c>
      <c r="J92" s="56">
        <f>'Vehicle Share Diversion Support'!J88*(1-'Vehicle Share Diversion Support'!J108)</f>
        <v>728.59511371830979</v>
      </c>
      <c r="K92" s="56">
        <f>'Vehicle Share Diversion Support'!K88*(1-'Vehicle Share Diversion Support'!K108)</f>
        <v>813.86414591927962</v>
      </c>
      <c r="L92" s="56">
        <f>'Vehicle Share Diversion Support'!L88*(1-'Vehicle Share Diversion Support'!L108)</f>
        <v>899.20224788000405</v>
      </c>
      <c r="M92" s="56">
        <f>'Vehicle Share Diversion Support'!M88*(1-'Vehicle Share Diversion Support'!M108)</f>
        <v>989.88417375561721</v>
      </c>
      <c r="N92" s="56">
        <f>'Vehicle Share Diversion Support'!N88*(1-'Vehicle Share Diversion Support'!N108)</f>
        <v>1089.2353982266122</v>
      </c>
      <c r="O92" s="56">
        <f>'Vehicle Share Diversion Support'!O88*(1-'Vehicle Share Diversion Support'!O108)</f>
        <v>1194.8260348273366</v>
      </c>
      <c r="P92" s="56">
        <f>'Vehicle Share Diversion Support'!P88*(1-'Vehicle Share Diversion Support'!P108)</f>
        <v>1299.6914325615799</v>
      </c>
      <c r="Q92" s="57">
        <f>'Vehicle Share Diversion Support'!Q88*(1-'Vehicle Share Diversion Support'!Q108)</f>
        <v>1399.3911308539673</v>
      </c>
      <c r="R92" s="56"/>
      <c r="S92" s="56"/>
      <c r="T92" s="56"/>
      <c r="U92" s="56"/>
      <c r="V92" s="56"/>
      <c r="W92" s="56"/>
      <c r="X92" s="56"/>
      <c r="Y92" s="56"/>
      <c r="Z92" s="56"/>
      <c r="AA92" s="56"/>
    </row>
    <row r="93" spans="3:27" ht="15.5" x14ac:dyDescent="0.35">
      <c r="C93" s="24" t="s">
        <v>3</v>
      </c>
      <c r="D93" s="55">
        <f>'Vehicle Share Diversion Support'!D89</f>
        <v>230.40054623344915</v>
      </c>
      <c r="E93" s="56">
        <f>'Vehicle Share Diversion Support'!E89</f>
        <v>247.67207284547206</v>
      </c>
      <c r="F93" s="56">
        <f>'Vehicle Share Diversion Support'!F89</f>
        <v>252.53342745175246</v>
      </c>
      <c r="G93" s="56">
        <f>'Vehicle Share Diversion Support'!G89</f>
        <v>261.47822763403434</v>
      </c>
      <c r="H93" s="56">
        <f>'Vehicle Share Diversion Support'!H89</f>
        <v>314.90029448206673</v>
      </c>
      <c r="I93" s="56">
        <f>'Vehicle Share Diversion Support'!I89</f>
        <v>330.80422941980515</v>
      </c>
      <c r="J93" s="56">
        <f>'Vehicle Share Diversion Support'!J89*(1-'Vehicle Share Diversion Support'!J109)</f>
        <v>375.69775658993683</v>
      </c>
      <c r="K93" s="56">
        <f>'Vehicle Share Diversion Support'!K89*(1-'Vehicle Share Diversion Support'!K109)</f>
        <v>416.58050640606871</v>
      </c>
      <c r="L93" s="56">
        <f>'Vehicle Share Diversion Support'!L89*(1-'Vehicle Share Diversion Support'!L109)</f>
        <v>456.92619547364882</v>
      </c>
      <c r="M93" s="56">
        <f>'Vehicle Share Diversion Support'!M89*(1-'Vehicle Share Diversion Support'!M109)</f>
        <v>499.24205163576693</v>
      </c>
      <c r="N93" s="56">
        <f>'Vehicle Share Diversion Support'!N89*(1-'Vehicle Share Diversion Support'!N109)</f>
        <v>545.32370779815699</v>
      </c>
      <c r="O93" s="56">
        <f>'Vehicle Share Diversion Support'!O89*(1-'Vehicle Share Diversion Support'!O109)</f>
        <v>593.77253254904713</v>
      </c>
      <c r="P93" s="56">
        <f>'Vehicle Share Diversion Support'!P89*(1-'Vehicle Share Diversion Support'!P109)</f>
        <v>641.08351967065005</v>
      </c>
      <c r="Q93" s="57">
        <f>'Vehicle Share Diversion Support'!Q89*(1-'Vehicle Share Diversion Support'!Q109)</f>
        <v>685.09009147260178</v>
      </c>
      <c r="R93" s="56"/>
      <c r="S93" s="56"/>
      <c r="T93" s="56"/>
      <c r="U93" s="56"/>
      <c r="V93" s="56"/>
      <c r="W93" s="56"/>
      <c r="X93" s="56"/>
      <c r="Y93" s="56"/>
      <c r="Z93" s="56"/>
      <c r="AA93" s="56"/>
    </row>
    <row r="94" spans="3:27" ht="15.5" x14ac:dyDescent="0.35">
      <c r="C94" s="24" t="s">
        <v>4</v>
      </c>
      <c r="D94" s="55">
        <f>'Vehicle Share Diversion Support'!D90</f>
        <v>41.62162097590825</v>
      </c>
      <c r="E94" s="56">
        <f>'Vehicle Share Diversion Support'!E90</f>
        <v>44.989457248690393</v>
      </c>
      <c r="F94" s="56">
        <f>'Vehicle Share Diversion Support'!F90</f>
        <v>46.634801678968095</v>
      </c>
      <c r="G94" s="56">
        <f>'Vehicle Share Diversion Support'!G90</f>
        <v>46.919188549454489</v>
      </c>
      <c r="H94" s="56">
        <f>'Vehicle Share Diversion Support'!H90</f>
        <v>47.787395141786178</v>
      </c>
      <c r="I94" s="56">
        <f>'Vehicle Share Diversion Support'!I90</f>
        <v>51.421671366338117</v>
      </c>
      <c r="J94" s="56">
        <f>'Vehicle Share Diversion Support'!J90*(1-'Vehicle Share Diversion Support'!J110)</f>
        <v>56.942143820893072</v>
      </c>
      <c r="K94" s="56">
        <f>'Vehicle Share Diversion Support'!K90*(1-'Vehicle Share Diversion Support'!K110)</f>
        <v>61.907066642559528</v>
      </c>
      <c r="L94" s="56">
        <f>'Vehicle Share Diversion Support'!L90*(1-'Vehicle Share Diversion Support'!L110)</f>
        <v>66.637244536681564</v>
      </c>
      <c r="M94" s="56">
        <f>'Vehicle Share Diversion Support'!M90*(1-'Vehicle Share Diversion Support'!M110)</f>
        <v>71.40171913015071</v>
      </c>
      <c r="N94" s="56">
        <f>'Vehicle Share Diversion Support'!N90*(1-'Vehicle Share Diversion Support'!N110)</f>
        <v>76.541074177563175</v>
      </c>
      <c r="O94" s="56">
        <f>'Vehicle Share Diversion Support'!O90*(1-'Vehicle Share Diversion Support'!O110)</f>
        <v>81.800597676606657</v>
      </c>
      <c r="P94" s="56">
        <f>'Vehicle Share Diversion Support'!P90*(1-'Vehicle Share Diversion Support'!P110)</f>
        <v>86.69676364767291</v>
      </c>
      <c r="Q94" s="57">
        <f>'Vehicle Share Diversion Support'!Q90*(1-'Vehicle Share Diversion Support'!Q110)</f>
        <v>90.959028014451945</v>
      </c>
      <c r="R94" s="56"/>
      <c r="S94" s="56"/>
      <c r="T94" s="56"/>
      <c r="U94" s="56"/>
      <c r="V94" s="56"/>
      <c r="W94" s="56"/>
      <c r="X94" s="56"/>
      <c r="Y94" s="56"/>
      <c r="Z94" s="56"/>
      <c r="AA94" s="56"/>
    </row>
    <row r="95" spans="3:27" ht="15.5" x14ac:dyDescent="0.35">
      <c r="C95" s="24" t="s">
        <v>5</v>
      </c>
      <c r="D95" s="55">
        <f>'Vehicle Share Diversion Support'!D91</f>
        <v>119.7878662525421</v>
      </c>
      <c r="E95" s="56">
        <f>'Vehicle Share Diversion Support'!E91</f>
        <v>123.79693049010913</v>
      </c>
      <c r="F95" s="56">
        <f>'Vehicle Share Diversion Support'!F91</f>
        <v>132.64448652125961</v>
      </c>
      <c r="G95" s="56">
        <f>'Vehicle Share Diversion Support'!G91</f>
        <v>138.57080390921578</v>
      </c>
      <c r="H95" s="56">
        <f>'Vehicle Share Diversion Support'!H91</f>
        <v>152.58031042608991</v>
      </c>
      <c r="I95" s="56">
        <f>'Vehicle Share Diversion Support'!I91</f>
        <v>165.12043161673202</v>
      </c>
      <c r="J95" s="56">
        <f>'Vehicle Share Diversion Support'!J91*(1-'Vehicle Share Diversion Support'!J111)</f>
        <v>187.4271254020021</v>
      </c>
      <c r="K95" s="56">
        <f>'Vehicle Share Diversion Support'!K91*(1-'Vehicle Share Diversion Support'!K111)</f>
        <v>207.86935249166984</v>
      </c>
      <c r="L95" s="56">
        <f>'Vehicle Share Diversion Support'!L91*(1-'Vehicle Share Diversion Support'!L111)</f>
        <v>228.09401007795759</v>
      </c>
      <c r="M95" s="56">
        <f>'Vehicle Share Diversion Support'!M91*(1-'Vehicle Share Diversion Support'!M111)</f>
        <v>249.54953321195404</v>
      </c>
      <c r="N95" s="56">
        <f>'Vehicle Share Diversion Support'!N91*(1-'Vehicle Share Diversion Support'!N111)</f>
        <v>273.24567750652693</v>
      </c>
      <c r="O95" s="56">
        <f>'Vehicle Share Diversion Support'!O91*(1-'Vehicle Share Diversion Support'!O111)</f>
        <v>298.46435637310725</v>
      </c>
      <c r="P95" s="56">
        <f>'Vehicle Share Diversion Support'!P91*(1-'Vehicle Share Diversion Support'!P111)</f>
        <v>323.50766259818073</v>
      </c>
      <c r="Q95" s="57">
        <f>'Vehicle Share Diversion Support'!Q91*(1-'Vehicle Share Diversion Support'!Q111)</f>
        <v>347.33068575316776</v>
      </c>
      <c r="R95" s="56"/>
      <c r="S95" s="56"/>
      <c r="T95" s="56"/>
      <c r="U95" s="56"/>
      <c r="V95" s="56"/>
      <c r="W95" s="56"/>
      <c r="X95" s="56"/>
      <c r="Y95" s="56"/>
      <c r="Z95" s="56"/>
      <c r="AA95" s="56"/>
    </row>
    <row r="96" spans="3:27" ht="15.5" x14ac:dyDescent="0.35">
      <c r="C96" s="24" t="s">
        <v>6</v>
      </c>
      <c r="D96" s="55">
        <f>'Vehicle Share Diversion Support'!D92</f>
        <v>74.686375725055086</v>
      </c>
      <c r="E96" s="56">
        <f>'Vehicle Share Diversion Support'!E92</f>
        <v>80.091404935888505</v>
      </c>
      <c r="F96" s="56">
        <f>'Vehicle Share Diversion Support'!F92</f>
        <v>84.414317101540789</v>
      </c>
      <c r="G96" s="56">
        <f>'Vehicle Share Diversion Support'!G92</f>
        <v>86.302003454782096</v>
      </c>
      <c r="H96" s="56">
        <f>'Vehicle Share Diversion Support'!H92</f>
        <v>89.176342836659074</v>
      </c>
      <c r="I96" s="56">
        <f>'Vehicle Share Diversion Support'!I92</f>
        <v>94.751135291052051</v>
      </c>
      <c r="J96" s="56">
        <f>'Vehicle Share Diversion Support'!J92*(1-'Vehicle Share Diversion Support'!J112)</f>
        <v>108.45745341673343</v>
      </c>
      <c r="K96" s="56">
        <f>'Vehicle Share Diversion Support'!K92*(1-'Vehicle Share Diversion Support'!K112)</f>
        <v>121.15910946051146</v>
      </c>
      <c r="L96" s="56">
        <f>'Vehicle Share Diversion Support'!L92*(1-'Vehicle Share Diversion Support'!L112)</f>
        <v>134.05547965630808</v>
      </c>
      <c r="M96" s="56">
        <f>'Vehicle Share Diversion Support'!M92*(1-'Vehicle Share Diversion Support'!M112)</f>
        <v>147.94550096308305</v>
      </c>
      <c r="N96" s="56">
        <f>'Vehicle Share Diversion Support'!N92*(1-'Vehicle Share Diversion Support'!N112)</f>
        <v>163.39160496557506</v>
      </c>
      <c r="O96" s="56">
        <f>'Vehicle Share Diversion Support'!O92*(1-'Vehicle Share Diversion Support'!O112)</f>
        <v>179.97805305313415</v>
      </c>
      <c r="P96" s="56">
        <f>'Vehicle Share Diversion Support'!P92*(1-'Vehicle Share Diversion Support'!P112)</f>
        <v>196.68906023122068</v>
      </c>
      <c r="Q96" s="57">
        <f>'Vehicle Share Diversion Support'!Q92*(1-'Vehicle Share Diversion Support'!Q112)</f>
        <v>212.87474355982192</v>
      </c>
      <c r="R96" s="56"/>
      <c r="S96" s="56"/>
      <c r="T96" s="56"/>
      <c r="U96" s="56"/>
      <c r="V96" s="56"/>
      <c r="W96" s="56"/>
      <c r="X96" s="56"/>
      <c r="Y96" s="56"/>
      <c r="Z96" s="56"/>
      <c r="AA96" s="56"/>
    </row>
    <row r="97" spans="3:27" ht="15.5" x14ac:dyDescent="0.35">
      <c r="C97" s="24" t="s">
        <v>7</v>
      </c>
      <c r="D97" s="55">
        <f>'Vehicle Share Diversion Support'!D93</f>
        <v>175.50024718008748</v>
      </c>
      <c r="E97" s="56">
        <f>'Vehicle Share Diversion Support'!E93</f>
        <v>187.09543188002314</v>
      </c>
      <c r="F97" s="56">
        <f>'Vehicle Share Diversion Support'!F93</f>
        <v>195.39727413282864</v>
      </c>
      <c r="G97" s="56">
        <f>'Vehicle Share Diversion Support'!G93</f>
        <v>205.71184986786184</v>
      </c>
      <c r="H97" s="56">
        <f>'Vehicle Share Diversion Support'!H93</f>
        <v>218.8521601836112</v>
      </c>
      <c r="I97" s="56">
        <f>'Vehicle Share Diversion Support'!I93</f>
        <v>232.50314465532963</v>
      </c>
      <c r="J97" s="56">
        <f>'Vehicle Share Diversion Support'!J93*(1-'Vehicle Share Diversion Support'!J113)</f>
        <v>260.73141346427497</v>
      </c>
      <c r="K97" s="56">
        <f>'Vehicle Share Diversion Support'!K93*(1-'Vehicle Share Diversion Support'!K113)</f>
        <v>286.26089346075798</v>
      </c>
      <c r="L97" s="56">
        <f>'Vehicle Share Diversion Support'!L93*(1-'Vehicle Share Diversion Support'!L113)</f>
        <v>311.00211269117312</v>
      </c>
      <c r="M97" s="56">
        <f>'Vehicle Share Diversion Support'!M93*(1-'Vehicle Share Diversion Support'!M113)</f>
        <v>336.86771235904513</v>
      </c>
      <c r="N97" s="56">
        <f>'Vehicle Share Diversion Support'!N93*(1-'Vehicle Share Diversion Support'!N113)</f>
        <v>364.74362549775776</v>
      </c>
      <c r="O97" s="56">
        <f>'Vehicle Share Diversion Support'!O93*(1-'Vehicle Share Diversion Support'!O113)</f>
        <v>393.93675549785479</v>
      </c>
      <c r="P97" s="56">
        <f>'Vehicle Share Diversion Support'!P93*(1-'Vehicle Share Diversion Support'!P113)</f>
        <v>422.17520678533754</v>
      </c>
      <c r="Q97" s="57">
        <f>'Vehicle Share Diversion Support'!Q93*(1-'Vehicle Share Diversion Support'!Q113)</f>
        <v>448.13295442374863</v>
      </c>
      <c r="R97" s="56"/>
      <c r="S97" s="56"/>
      <c r="T97" s="56"/>
      <c r="U97" s="56"/>
      <c r="V97" s="56"/>
      <c r="W97" s="56"/>
      <c r="X97" s="56"/>
      <c r="Y97" s="56"/>
      <c r="Z97" s="56"/>
      <c r="AA97" s="56"/>
    </row>
    <row r="98" spans="3:27" ht="15.5" x14ac:dyDescent="0.35">
      <c r="C98" s="24" t="s">
        <v>8</v>
      </c>
      <c r="D98" s="55">
        <f>'Vehicle Share Diversion Support'!D94</f>
        <v>225.010300853226</v>
      </c>
      <c r="E98" s="56">
        <f>'Vehicle Share Diversion Support'!E94</f>
        <v>239.51372384585136</v>
      </c>
      <c r="F98" s="56">
        <f>'Vehicle Share Diversion Support'!F94</f>
        <v>263.45794608361695</v>
      </c>
      <c r="G98" s="56">
        <f>'Vehicle Share Diversion Support'!G94</f>
        <v>259.72944484008957</v>
      </c>
      <c r="H98" s="56">
        <f>'Vehicle Share Diversion Support'!H94</f>
        <v>270.88421937962119</v>
      </c>
      <c r="I98" s="56">
        <f>'Vehicle Share Diversion Support'!I94</f>
        <v>298.58994424391466</v>
      </c>
      <c r="J98" s="56">
        <f>'Vehicle Share Diversion Support'!J94*(1-'Vehicle Share Diversion Support'!J114)</f>
        <v>343.07680419892245</v>
      </c>
      <c r="K98" s="56">
        <f>'Vehicle Share Diversion Support'!K94*(1-'Vehicle Share Diversion Support'!K114)</f>
        <v>384.62923998657033</v>
      </c>
      <c r="L98" s="56">
        <f>'Vehicle Share Diversion Support'!L94*(1-'Vehicle Share Diversion Support'!L114)</f>
        <v>426.7365081127071</v>
      </c>
      <c r="M98" s="56">
        <f>'Vehicle Share Diversion Support'!M94*(1-'Vehicle Share Diversion Support'!M114)</f>
        <v>471.94285406902742</v>
      </c>
      <c r="N98" s="56">
        <f>'Vehicle Share Diversion Support'!N94*(1-'Vehicle Share Diversion Support'!N114)</f>
        <v>521.8474232133442</v>
      </c>
      <c r="O98" s="56">
        <f>'Vehicle Share Diversion Support'!O94*(1-'Vehicle Share Diversion Support'!O114)</f>
        <v>575.40528054717402</v>
      </c>
      <c r="P98" s="56">
        <f>'Vehicle Share Diversion Support'!P94*(1-'Vehicle Share Diversion Support'!P114)</f>
        <v>629.34889762408943</v>
      </c>
      <c r="Q98" s="57">
        <f>'Vehicle Share Diversion Support'!Q94*(1-'Vehicle Share Diversion Support'!Q114)</f>
        <v>681.5709678614968</v>
      </c>
      <c r="R98" s="56"/>
      <c r="S98" s="56"/>
      <c r="T98" s="56"/>
      <c r="U98" s="56"/>
      <c r="V98" s="56"/>
      <c r="W98" s="56"/>
      <c r="X98" s="56"/>
      <c r="Y98" s="56"/>
      <c r="Z98" s="56"/>
      <c r="AA98" s="56"/>
    </row>
    <row r="99" spans="3:27" ht="15.5" x14ac:dyDescent="0.35">
      <c r="C99" s="24" t="s">
        <v>9</v>
      </c>
      <c r="D99" s="55">
        <f>'Vehicle Share Diversion Support'!D95</f>
        <v>113.67399656971789</v>
      </c>
      <c r="E99" s="56">
        <f>'Vehicle Share Diversion Support'!E95</f>
        <v>119.8095084612745</v>
      </c>
      <c r="F99" s="56">
        <f>'Vehicle Share Diversion Support'!F95</f>
        <v>118.48678729310265</v>
      </c>
      <c r="G99" s="56">
        <f>'Vehicle Share Diversion Support'!G95</f>
        <v>134.15061893971614</v>
      </c>
      <c r="H99" s="56">
        <f>'Vehicle Share Diversion Support'!H95</f>
        <v>143.47945432057134</v>
      </c>
      <c r="I99" s="56">
        <f>'Vehicle Share Diversion Support'!I95</f>
        <v>159.7857574353994</v>
      </c>
      <c r="J99" s="56">
        <f>'Vehicle Share Diversion Support'!J95*(1-'Vehicle Share Diversion Support'!J115)</f>
        <v>178.95920963957178</v>
      </c>
      <c r="K99" s="56">
        <f>'Vehicle Share Diversion Support'!K95*(1-'Vehicle Share Diversion Support'!K115)</f>
        <v>196.48339185415955</v>
      </c>
      <c r="L99" s="56">
        <f>'Vehicle Share Diversion Support'!L95*(1-'Vehicle Share Diversion Support'!L115)</f>
        <v>213.44861196883375</v>
      </c>
      <c r="M99" s="56">
        <f>'Vehicle Share Diversion Support'!M95*(1-'Vehicle Share Diversion Support'!M115)</f>
        <v>231.03448038820355</v>
      </c>
      <c r="N99" s="56">
        <f>'Vehicle Share Diversion Support'!N95*(1-'Vehicle Share Diversion Support'!N115)</f>
        <v>249.61797494409836</v>
      </c>
      <c r="O99" s="56">
        <f>'Vehicle Share Diversion Support'!O95*(1-'Vehicle Share Diversion Support'!O115)</f>
        <v>268.88800566720192</v>
      </c>
      <c r="P99" s="56">
        <f>'Vehicle Share Diversion Support'!P95*(1-'Vehicle Share Diversion Support'!P115)</f>
        <v>287.25790756833823</v>
      </c>
      <c r="Q99" s="57">
        <f>'Vehicle Share Diversion Support'!Q95*(1-'Vehicle Share Diversion Support'!Q115)</f>
        <v>303.80127856605117</v>
      </c>
      <c r="R99" s="56"/>
      <c r="S99" s="56"/>
      <c r="T99" s="56"/>
      <c r="U99" s="56"/>
      <c r="V99" s="56"/>
      <c r="W99" s="56"/>
      <c r="X99" s="56"/>
      <c r="Y99" s="56"/>
      <c r="Z99" s="56"/>
      <c r="AA99" s="56"/>
    </row>
    <row r="100" spans="3:27" ht="15.5" x14ac:dyDescent="0.35">
      <c r="C100" s="24" t="s">
        <v>10</v>
      </c>
      <c r="D100" s="55">
        <f>'Vehicle Share Diversion Support'!D96</f>
        <v>58.110369341662711</v>
      </c>
      <c r="E100" s="56">
        <f>'Vehicle Share Diversion Support'!E96</f>
        <v>58.361419866368145</v>
      </c>
      <c r="F100" s="56">
        <f>'Vehicle Share Diversion Support'!F96</f>
        <v>60.996626234669698</v>
      </c>
      <c r="G100" s="56">
        <f>'Vehicle Share Diversion Support'!G96</f>
        <v>57.983915603657991</v>
      </c>
      <c r="H100" s="56">
        <f>'Vehicle Share Diversion Support'!H96</f>
        <v>60.554326359868504</v>
      </c>
      <c r="I100" s="56">
        <f>'Vehicle Share Diversion Support'!I96</f>
        <v>65.705997245324227</v>
      </c>
      <c r="J100" s="56">
        <f>'Vehicle Share Diversion Support'!J96*(1-'Vehicle Share Diversion Support'!J116)</f>
        <v>71.43440410451673</v>
      </c>
      <c r="K100" s="56">
        <f>'Vehicle Share Diversion Support'!K96*(1-'Vehicle Share Diversion Support'!K116)</f>
        <v>76.258796052650027</v>
      </c>
      <c r="L100" s="56">
        <f>'Vehicle Share Diversion Support'!L96*(1-'Vehicle Share Diversion Support'!L116)</f>
        <v>80.585504456696597</v>
      </c>
      <c r="M100" s="56">
        <f>'Vehicle Share Diversion Support'!M96*(1-'Vehicle Share Diversion Support'!M116)</f>
        <v>84.891945980876727</v>
      </c>
      <c r="N100" s="56">
        <f>'Vehicle Share Diversion Support'!N96*(1-'Vehicle Share Diversion Support'!N116)</f>
        <v>89.501978124560154</v>
      </c>
      <c r="O100" s="56">
        <f>'Vehicle Share Diversion Support'!O96*(1-'Vehicle Share Diversion Support'!O116)</f>
        <v>94.075128121222903</v>
      </c>
      <c r="P100" s="56">
        <f>'Vehicle Share Diversion Support'!P96*(1-'Vehicle Share Diversion Support'!P116)</f>
        <v>98.06216737460332</v>
      </c>
      <c r="Q100" s="57">
        <f>'Vehicle Share Diversion Support'!Q96*(1-'Vehicle Share Diversion Support'!Q116)</f>
        <v>101.18698910934089</v>
      </c>
      <c r="R100" s="56"/>
      <c r="S100" s="56"/>
      <c r="T100" s="56"/>
      <c r="U100" s="56"/>
      <c r="V100" s="56"/>
      <c r="W100" s="56"/>
      <c r="X100" s="56"/>
      <c r="Y100" s="56"/>
      <c r="Z100" s="56"/>
      <c r="AA100" s="56"/>
    </row>
    <row r="101" spans="3:27" ht="15.5" x14ac:dyDescent="0.35">
      <c r="C101" s="24" t="s">
        <v>11</v>
      </c>
      <c r="D101" s="55">
        <f>'Vehicle Share Diversion Support'!D97</f>
        <v>471.58224881401145</v>
      </c>
      <c r="E101" s="56">
        <f>'Vehicle Share Diversion Support'!E97</f>
        <v>544.29198171811208</v>
      </c>
      <c r="F101" s="56">
        <f>'Vehicle Share Diversion Support'!F97</f>
        <v>596.87804588426707</v>
      </c>
      <c r="G101" s="56">
        <f>'Vehicle Share Diversion Support'!G97</f>
        <v>631.34365371088529</v>
      </c>
      <c r="H101" s="56">
        <f>'Vehicle Share Diversion Support'!H97</f>
        <v>650.16663674549113</v>
      </c>
      <c r="I101" s="56">
        <f>'Vehicle Share Diversion Support'!I97</f>
        <v>702.95569179823929</v>
      </c>
      <c r="J101" s="56">
        <f>'Vehicle Share Diversion Support'!J97*(1-'Vehicle Share Diversion Support'!J117)</f>
        <v>822.90054645782379</v>
      </c>
      <c r="K101" s="56">
        <f>'Vehicle Share Diversion Support'!K97*(1-'Vehicle Share Diversion Support'!K117)</f>
        <v>934.00671274759964</v>
      </c>
      <c r="L101" s="56">
        <f>'Vehicle Share Diversion Support'!L97*(1-'Vehicle Share Diversion Support'!L117)</f>
        <v>1048.515885480728</v>
      </c>
      <c r="M101" s="56">
        <f>'Vehicle Share Diversion Support'!M97*(1-'Vehicle Share Diversion Support'!M117)</f>
        <v>1173.2494568313616</v>
      </c>
      <c r="N101" s="56">
        <f>'Vehicle Share Diversion Support'!N97*(1-'Vehicle Share Diversion Support'!N117)</f>
        <v>1312.3785778096237</v>
      </c>
      <c r="O101" s="56">
        <f>'Vehicle Share Diversion Support'!O97*(1-'Vehicle Share Diversion Support'!O117)</f>
        <v>1463.6615584314527</v>
      </c>
      <c r="P101" s="56">
        <f>'Vehicle Share Diversion Support'!P97*(1-'Vehicle Share Diversion Support'!P117)</f>
        <v>1618.9841399450115</v>
      </c>
      <c r="Q101" s="57">
        <f>'Vehicle Share Diversion Support'!Q97*(1-'Vehicle Share Diversion Support'!Q117)</f>
        <v>1772.8670487467646</v>
      </c>
      <c r="R101" s="56"/>
      <c r="S101" s="56"/>
      <c r="T101" s="56"/>
      <c r="U101" s="56"/>
      <c r="V101" s="56"/>
      <c r="W101" s="56"/>
      <c r="X101" s="56"/>
      <c r="Y101" s="56"/>
      <c r="Z101" s="56"/>
      <c r="AA101" s="56"/>
    </row>
    <row r="102" spans="3:27" ht="15.5" x14ac:dyDescent="0.35">
      <c r="C102" s="24" t="s">
        <v>12</v>
      </c>
      <c r="D102" s="55">
        <f>'Vehicle Share Diversion Support'!D98</f>
        <v>186.21771931401329</v>
      </c>
      <c r="E102" s="56">
        <f>'Vehicle Share Diversion Support'!E98</f>
        <v>199.47758185336059</v>
      </c>
      <c r="F102" s="56">
        <f>'Vehicle Share Diversion Support'!F98</f>
        <v>215.33680100087935</v>
      </c>
      <c r="G102" s="56">
        <f>'Vehicle Share Diversion Support'!G98</f>
        <v>225.11824397374161</v>
      </c>
      <c r="H102" s="56">
        <f>'Vehicle Share Diversion Support'!H98</f>
        <v>239.97328110402427</v>
      </c>
      <c r="I102" s="56">
        <f>'Vehicle Share Diversion Support'!I98</f>
        <v>259.37700365621504</v>
      </c>
      <c r="J102" s="56">
        <f>'Vehicle Share Diversion Support'!J98*(1-'Vehicle Share Diversion Support'!J118)</f>
        <v>302.82038093016661</v>
      </c>
      <c r="K102" s="56">
        <f>'Vehicle Share Diversion Support'!K98*(1-'Vehicle Share Diversion Support'!K118)</f>
        <v>342.0091548938351</v>
      </c>
      <c r="L102" s="56">
        <f>'Vehicle Share Diversion Support'!L98*(1-'Vehicle Share Diversion Support'!L118)</f>
        <v>382.15456830919288</v>
      </c>
      <c r="M102" s="56">
        <f>'Vehicle Share Diversion Support'!M98*(1-'Vehicle Share Diversion Support'!M118)</f>
        <v>425.46756534858918</v>
      </c>
      <c r="N102" s="56">
        <f>'Vehicle Share Diversion Support'!N98*(1-'Vehicle Share Diversion Support'!N118)</f>
        <v>473.68383043940099</v>
      </c>
      <c r="O102" s="56">
        <f>'Vehicle Share Diversion Support'!O98*(1-'Vehicle Share Diversion Support'!O118)</f>
        <v>525.77678020999679</v>
      </c>
      <c r="P102" s="56">
        <f>'Vehicle Share Diversion Support'!P98*(1-'Vehicle Share Diversion Support'!P118)</f>
        <v>578.78303098280264</v>
      </c>
      <c r="Q102" s="57">
        <f>'Vehicle Share Diversion Support'!Q98*(1-'Vehicle Share Diversion Support'!Q118)</f>
        <v>630.73370230982152</v>
      </c>
      <c r="R102" s="56"/>
      <c r="S102" s="56"/>
      <c r="T102" s="56"/>
      <c r="U102" s="56"/>
      <c r="V102" s="56"/>
      <c r="W102" s="56"/>
      <c r="X102" s="56"/>
      <c r="Y102" s="56"/>
      <c r="Z102" s="56"/>
      <c r="AA102" s="56"/>
    </row>
    <row r="103" spans="3:27" ht="16" thickBot="1" x14ac:dyDescent="0.4">
      <c r="C103" s="25" t="s">
        <v>13</v>
      </c>
      <c r="D103" s="58">
        <f>'Vehicle Share Diversion Support'!D99</f>
        <v>102.70781396576267</v>
      </c>
      <c r="E103" s="59">
        <f>'Vehicle Share Diversion Support'!E99</f>
        <v>112.79088597792406</v>
      </c>
      <c r="F103" s="59">
        <f>'Vehicle Share Diversion Support'!F99</f>
        <v>115.16035045289365</v>
      </c>
      <c r="G103" s="59">
        <f>'Vehicle Share Diversion Support'!G99</f>
        <v>129.22155627521394</v>
      </c>
      <c r="H103" s="59">
        <f>'Vehicle Share Diversion Support'!H99</f>
        <v>136.84541332163863</v>
      </c>
      <c r="I103" s="59">
        <f>'Vehicle Share Diversion Support'!I99</f>
        <v>144.15458395086821</v>
      </c>
      <c r="J103" s="59">
        <f>'Vehicle Share Diversion Support'!J99*(1-'Vehicle Share Diversion Support'!J119)</f>
        <v>158.14420321662556</v>
      </c>
      <c r="K103" s="59">
        <f>'Vehicle Share Diversion Support'!K99*(1-'Vehicle Share Diversion Support'!K119)</f>
        <v>170.71848088539008</v>
      </c>
      <c r="L103" s="59">
        <f>'Vehicle Share Diversion Support'!L99*(1-'Vehicle Share Diversion Support'!L119)</f>
        <v>182.66669084744382</v>
      </c>
      <c r="M103" s="59">
        <f>'Vehicle Share Diversion Support'!M99*(1-'Vehicle Share Diversion Support'!M119)</f>
        <v>194.94732763445651</v>
      </c>
      <c r="N103" s="59">
        <f>'Vehicle Share Diversion Support'!N99*(1-'Vehicle Share Diversion Support'!N119)</f>
        <v>208.13328402313581</v>
      </c>
      <c r="O103" s="59">
        <f>'Vehicle Share Diversion Support'!O99*(1-'Vehicle Share Diversion Support'!O119)</f>
        <v>221.53473341410438</v>
      </c>
      <c r="P103" s="59">
        <f>'Vehicle Share Diversion Support'!P99*(1-'Vehicle Share Diversion Support'!P119)</f>
        <v>233.84419962858851</v>
      </c>
      <c r="Q103" s="60">
        <f>'Vehicle Share Diversion Support'!Q99*(1-'Vehicle Share Diversion Support'!Q119)</f>
        <v>244.34749616601283</v>
      </c>
      <c r="R103" s="56"/>
      <c r="S103" s="56"/>
      <c r="T103" s="56"/>
      <c r="U103" s="56"/>
      <c r="V103" s="56"/>
      <c r="W103" s="56"/>
      <c r="X103" s="56"/>
      <c r="Y103" s="56"/>
      <c r="Z103" s="56"/>
      <c r="AA103" s="56"/>
    </row>
    <row r="104" spans="3:27" ht="16.5" thickTop="1" thickBot="1" x14ac:dyDescent="0.4">
      <c r="C104" s="31" t="s">
        <v>24</v>
      </c>
      <c r="D104" s="61">
        <f>SUM(D90:D103)</f>
        <v>3128.2496819179296</v>
      </c>
      <c r="E104" s="62">
        <f t="shared" ref="E104:N104" si="70">SUM(E90:E103)</f>
        <v>3359.6751505241505</v>
      </c>
      <c r="F104" s="62">
        <f t="shared" si="70"/>
        <v>3578.8925489444591</v>
      </c>
      <c r="G104" s="62">
        <f t="shared" ref="G104:H104" si="71">SUM(G90:G103)</f>
        <v>3779.0500530601239</v>
      </c>
      <c r="H104" s="62">
        <f t="shared" si="71"/>
        <v>4140.0377962558396</v>
      </c>
      <c r="I104" s="62">
        <f t="shared" si="70"/>
        <v>4465.3232779413111</v>
      </c>
      <c r="J104" s="62">
        <f t="shared" si="70"/>
        <v>5136.4960805812134</v>
      </c>
      <c r="K104" s="62">
        <f t="shared" si="70"/>
        <v>5754.9106956149435</v>
      </c>
      <c r="L104" s="62">
        <f t="shared" si="70"/>
        <v>6380.6995403616538</v>
      </c>
      <c r="M104" s="62">
        <f t="shared" si="70"/>
        <v>7051.9244334011291</v>
      </c>
      <c r="N104" s="62">
        <f t="shared" si="70"/>
        <v>7793.1901158579813</v>
      </c>
      <c r="O104" s="62">
        <f t="shared" ref="O104:Q104" si="72">SUM(O90:O103)</f>
        <v>8588.9903530543215</v>
      </c>
      <c r="P104" s="62">
        <f t="shared" si="72"/>
        <v>9390.6470784156099</v>
      </c>
      <c r="Q104" s="63">
        <f t="shared" si="72"/>
        <v>10166.848980720599</v>
      </c>
      <c r="R104" s="56"/>
    </row>
    <row r="105" spans="3:27" ht="13" thickTop="1" x14ac:dyDescent="0.25"/>
    <row r="106" spans="3:27" ht="13" thickBot="1" x14ac:dyDescent="0.3"/>
    <row r="107" spans="3:27" ht="16" thickTop="1" x14ac:dyDescent="0.35">
      <c r="C107" s="32" t="s">
        <v>125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121"/>
    </row>
    <row r="108" spans="3:27" ht="13.5" thickBot="1" x14ac:dyDescent="0.35">
      <c r="C108" s="18"/>
      <c r="D108" s="65" t="s">
        <v>25</v>
      </c>
      <c r="E108" s="65" t="s">
        <v>37</v>
      </c>
      <c r="F108" s="65" t="s">
        <v>38</v>
      </c>
      <c r="G108" s="37" t="s">
        <v>177</v>
      </c>
      <c r="H108" s="37" t="s">
        <v>178</v>
      </c>
      <c r="I108" s="65" t="s">
        <v>26</v>
      </c>
      <c r="J108" s="65" t="s">
        <v>27</v>
      </c>
      <c r="K108" s="65" t="s">
        <v>28</v>
      </c>
      <c r="L108" s="65" t="s">
        <v>29</v>
      </c>
      <c r="M108" s="65" t="s">
        <v>30</v>
      </c>
      <c r="N108" s="65" t="s">
        <v>31</v>
      </c>
      <c r="O108" s="37" t="s">
        <v>174</v>
      </c>
      <c r="P108" s="37" t="s">
        <v>175</v>
      </c>
      <c r="Q108" s="38" t="s">
        <v>176</v>
      </c>
      <c r="R108" s="65"/>
    </row>
    <row r="109" spans="3:27" ht="14" thickTop="1" thickBot="1" x14ac:dyDescent="0.35">
      <c r="C109" s="70"/>
      <c r="D109" s="71" t="s">
        <v>39</v>
      </c>
      <c r="E109" s="71" t="s">
        <v>39</v>
      </c>
      <c r="F109" s="71" t="s">
        <v>39</v>
      </c>
      <c r="G109" s="71" t="s">
        <v>39</v>
      </c>
      <c r="H109" s="71" t="s">
        <v>39</v>
      </c>
      <c r="I109" s="71" t="s">
        <v>39</v>
      </c>
      <c r="J109" s="71" t="s">
        <v>32</v>
      </c>
      <c r="K109" s="71" t="s">
        <v>32</v>
      </c>
      <c r="L109" s="71" t="s">
        <v>32</v>
      </c>
      <c r="M109" s="71" t="s">
        <v>32</v>
      </c>
      <c r="N109" s="71" t="s">
        <v>32</v>
      </c>
      <c r="O109" s="65" t="s">
        <v>32</v>
      </c>
      <c r="P109" s="65" t="s">
        <v>32</v>
      </c>
      <c r="Q109" s="66" t="s">
        <v>32</v>
      </c>
      <c r="R109" s="65"/>
    </row>
    <row r="110" spans="3:27" ht="16" thickTop="1" x14ac:dyDescent="0.35">
      <c r="C110" s="24" t="s">
        <v>0</v>
      </c>
      <c r="D110" s="42">
        <f>'[1]12_13 fleet'!$D189*'Light Vehicle Supporting Data'!D$184</f>
        <v>5948.8133335750581</v>
      </c>
      <c r="E110" s="43">
        <f>'[2]13_14 fleet'!$D190*'Light Vehicle Supporting Data'!E$184</f>
        <v>6190.4603624359934</v>
      </c>
      <c r="F110" s="43">
        <f>'[3]14_15 fleet'!$D190*'Light Vehicle Supporting Data'!F$184</f>
        <v>6632.1569410399661</v>
      </c>
      <c r="G110" s="43">
        <f>'[4]15_16 fleet'!$D190*'Light Vehicle Supporting Data'!G$184</f>
        <v>7000.2253725285564</v>
      </c>
      <c r="H110" s="43">
        <f>'[5]16_17 fleet_v2'!$D190*'Light Vehicle Supporting Data'!H$184</f>
        <v>7555.0329594660807</v>
      </c>
      <c r="I110" s="202">
        <f>'[6]17_18 fleet_v3'!$D191*'Light Vehicle Supporting Data'!I$184</f>
        <v>8132.5201347770608</v>
      </c>
      <c r="J110" s="202">
        <f>$I110*(J90/$I90)</f>
        <v>9293.963850130458</v>
      </c>
      <c r="K110" s="202">
        <f t="shared" ref="K110:Q110" si="73">$I110*(K90/$I90)</f>
        <v>10361.290394506766</v>
      </c>
      <c r="L110" s="202">
        <f t="shared" si="73"/>
        <v>11415.731445124256</v>
      </c>
      <c r="M110" s="202">
        <f t="shared" si="73"/>
        <v>12533.948894260066</v>
      </c>
      <c r="N110" s="202">
        <f t="shared" si="73"/>
        <v>13745.853589159491</v>
      </c>
      <c r="O110" s="129">
        <f t="shared" si="73"/>
        <v>15034.962919938231</v>
      </c>
      <c r="P110" s="129">
        <f t="shared" si="73"/>
        <v>16315.17189916415</v>
      </c>
      <c r="Q110" s="197">
        <f t="shared" si="73"/>
        <v>17532.945108574306</v>
      </c>
      <c r="R110" s="56"/>
    </row>
    <row r="111" spans="3:27" ht="15.5" x14ac:dyDescent="0.35">
      <c r="C111" s="24" t="s">
        <v>1</v>
      </c>
      <c r="D111" s="42">
        <f>'[1]12_13 fleet'!$D190*'Light Vehicle Supporting Data'!D$184</f>
        <v>43423.134743801253</v>
      </c>
      <c r="E111" s="43">
        <f>'[2]13_14 fleet'!$D191*'Light Vehicle Supporting Data'!E$184</f>
        <v>46272.340235803087</v>
      </c>
      <c r="F111" s="43">
        <f>'[3]14_15 fleet'!$D191*'Light Vehicle Supporting Data'!F$184</f>
        <v>51343.181171047334</v>
      </c>
      <c r="G111" s="43">
        <f>'[4]15_16 fleet'!$D191*'Light Vehicle Supporting Data'!G$184</f>
        <v>58563.349142846098</v>
      </c>
      <c r="H111" s="43">
        <f>'[5]16_17 fleet_v2'!$D191*'Light Vehicle Supporting Data'!H$184</f>
        <v>66892.708061319528</v>
      </c>
      <c r="I111" s="202">
        <f>'[6]17_18 fleet_v3'!$D192*'Light Vehicle Supporting Data'!I$184</f>
        <v>70718.305930844974</v>
      </c>
      <c r="J111" s="202">
        <f t="shared" ref="J111:Q111" si="74">$I111*(J91/$I91)</f>
        <v>82535.238817763064</v>
      </c>
      <c r="K111" s="202">
        <f t="shared" si="74"/>
        <v>93548.271231704683</v>
      </c>
      <c r="L111" s="202">
        <f t="shared" si="74"/>
        <v>104928.16560982552</v>
      </c>
      <c r="M111" s="202">
        <f t="shared" si="74"/>
        <v>117290.57030573025</v>
      </c>
      <c r="N111" s="202">
        <f t="shared" si="74"/>
        <v>131082.9735427094</v>
      </c>
      <c r="O111" s="167">
        <f t="shared" si="74"/>
        <v>146084.39729031501</v>
      </c>
      <c r="P111" s="167">
        <f t="shared" si="74"/>
        <v>161488.73785702369</v>
      </c>
      <c r="Q111" s="198">
        <f t="shared" si="74"/>
        <v>176754.95857821952</v>
      </c>
      <c r="R111" s="56"/>
    </row>
    <row r="112" spans="3:27" ht="15.5" x14ac:dyDescent="0.35">
      <c r="C112" s="24" t="s">
        <v>2</v>
      </c>
      <c r="D112" s="42">
        <f>'[1]12_13 fleet'!$D191*'Light Vehicle Supporting Data'!D$184</f>
        <v>16535.379188648571</v>
      </c>
      <c r="E112" s="43">
        <f>'[2]13_14 fleet'!$D192*'Light Vehicle Supporting Data'!E$184</f>
        <v>18189.105649472454</v>
      </c>
      <c r="F112" s="43">
        <f>'[3]14_15 fleet'!$D192*'Light Vehicle Supporting Data'!F$184</f>
        <v>19620.297721773033</v>
      </c>
      <c r="G112" s="43">
        <f>'[4]15_16 fleet'!$D192*'Light Vehicle Supporting Data'!G$184</f>
        <v>20873.599413424559</v>
      </c>
      <c r="H112" s="43">
        <f>'[5]16_17 fleet_v2'!$D192*'Light Vehicle Supporting Data'!H$184</f>
        <v>23038.298096234401</v>
      </c>
      <c r="I112" s="202">
        <f>'[6]17_18 fleet_v3'!$D193*'Light Vehicle Supporting Data'!I$184</f>
        <v>24774.770061173083</v>
      </c>
      <c r="J112" s="202">
        <f t="shared" ref="J112:Q112" si="75">$I112*(J92/$I92)</f>
        <v>28391.09047537687</v>
      </c>
      <c r="K112" s="202">
        <f t="shared" si="75"/>
        <v>31713.760038189121</v>
      </c>
      <c r="L112" s="202">
        <f t="shared" si="75"/>
        <v>35039.121035189419</v>
      </c>
      <c r="M112" s="202">
        <f t="shared" si="75"/>
        <v>38572.714266246046</v>
      </c>
      <c r="N112" s="202">
        <f t="shared" si="75"/>
        <v>42444.123159452036</v>
      </c>
      <c r="O112" s="167">
        <f t="shared" si="75"/>
        <v>46558.662580097713</v>
      </c>
      <c r="P112" s="167">
        <f t="shared" si="75"/>
        <v>50644.941692807151</v>
      </c>
      <c r="Q112" s="198">
        <f t="shared" si="75"/>
        <v>54529.929529386725</v>
      </c>
      <c r="R112" s="56"/>
    </row>
    <row r="113" spans="3:18" ht="15.5" x14ac:dyDescent="0.35">
      <c r="C113" s="24" t="s">
        <v>3</v>
      </c>
      <c r="D113" s="42">
        <f>'[1]12_13 fleet'!$D192*'Light Vehicle Supporting Data'!D$184</f>
        <v>13549.96361427872</v>
      </c>
      <c r="E113" s="43">
        <f>'[2]13_14 fleet'!$D193*'Light Vehicle Supporting Data'!E$184</f>
        <v>14290.296471966696</v>
      </c>
      <c r="F113" s="43">
        <f>'[3]14_15 fleet'!$D193*'Light Vehicle Supporting Data'!F$184</f>
        <v>15195.524337150413</v>
      </c>
      <c r="G113" s="43">
        <f>'[4]15_16 fleet'!$D193*'Light Vehicle Supporting Data'!G$184</f>
        <v>16617.030126012254</v>
      </c>
      <c r="H113" s="43">
        <f>'[5]16_17 fleet_v2'!$D193*'Light Vehicle Supporting Data'!H$184</f>
        <v>18264.749923858206</v>
      </c>
      <c r="I113" s="202">
        <f>'[6]17_18 fleet_v3'!$D194*'Light Vehicle Supporting Data'!I$184</f>
        <v>19152.645228826586</v>
      </c>
      <c r="J113" s="202">
        <f t="shared" ref="J113:Q113" si="76">$I113*(J93/$I93)</f>
        <v>21751.855645417294</v>
      </c>
      <c r="K113" s="202">
        <f t="shared" si="76"/>
        <v>24118.85320340066</v>
      </c>
      <c r="L113" s="202">
        <f t="shared" si="76"/>
        <v>26454.756437102322</v>
      </c>
      <c r="M113" s="202">
        <f t="shared" si="76"/>
        <v>28904.726868401114</v>
      </c>
      <c r="N113" s="202">
        <f t="shared" si="76"/>
        <v>31572.726650577377</v>
      </c>
      <c r="O113" s="167">
        <f t="shared" si="76"/>
        <v>34377.778913164431</v>
      </c>
      <c r="P113" s="167">
        <f t="shared" si="76"/>
        <v>37116.953540269104</v>
      </c>
      <c r="Q113" s="198">
        <f t="shared" si="76"/>
        <v>39664.811706828586</v>
      </c>
      <c r="R113" s="56"/>
    </row>
    <row r="114" spans="3:18" ht="15.5" x14ac:dyDescent="0.35">
      <c r="C114" s="24" t="s">
        <v>4</v>
      </c>
      <c r="D114" s="42">
        <f>'[1]12_13 fleet'!$D193*'Light Vehicle Supporting Data'!D$184</f>
        <v>2091.6924406412973</v>
      </c>
      <c r="E114" s="43">
        <f>'[2]13_14 fleet'!$D194*'Light Vehicle Supporting Data'!E$184</f>
        <v>2224.6028751527988</v>
      </c>
      <c r="F114" s="43">
        <f>'[3]14_15 fleet'!$D194*'Light Vehicle Supporting Data'!F$184</f>
        <v>2313.4500373694027</v>
      </c>
      <c r="G114" s="43">
        <f>'[4]15_16 fleet'!$D194*'Light Vehicle Supporting Data'!G$184</f>
        <v>2370.4308043911019</v>
      </c>
      <c r="H114" s="43">
        <f>'[5]16_17 fleet_v2'!$D194*'Light Vehicle Supporting Data'!H$184</f>
        <v>2466.3165468261009</v>
      </c>
      <c r="I114" s="202">
        <f>'[6]17_18 fleet_v3'!$D195*'Light Vehicle Supporting Data'!I$184</f>
        <v>2502.3908534790144</v>
      </c>
      <c r="J114" s="202">
        <f t="shared" ref="J114:Q114" si="77">$I114*(J94/$I94)</f>
        <v>2771.0398376542817</v>
      </c>
      <c r="K114" s="202">
        <f t="shared" si="77"/>
        <v>3012.6534827778537</v>
      </c>
      <c r="L114" s="202">
        <f t="shared" si="77"/>
        <v>3242.8434704437977</v>
      </c>
      <c r="M114" s="202">
        <f t="shared" si="77"/>
        <v>3474.7024771141864</v>
      </c>
      <c r="N114" s="202">
        <f t="shared" si="77"/>
        <v>3724.8047145892033</v>
      </c>
      <c r="O114" s="167">
        <f t="shared" si="77"/>
        <v>3980.7548451071339</v>
      </c>
      <c r="P114" s="167">
        <f t="shared" si="77"/>
        <v>4219.0224979771629</v>
      </c>
      <c r="Q114" s="198">
        <f t="shared" si="77"/>
        <v>4426.4418813447655</v>
      </c>
      <c r="R114" s="56"/>
    </row>
    <row r="115" spans="3:18" ht="15.5" x14ac:dyDescent="0.35">
      <c r="C115" s="24" t="s">
        <v>5</v>
      </c>
      <c r="D115" s="42">
        <f>'[1]12_13 fleet'!$D194*'Light Vehicle Supporting Data'!D$184</f>
        <v>6570.3162070861808</v>
      </c>
      <c r="E115" s="43">
        <f>'[2]13_14 fleet'!$D195*'Light Vehicle Supporting Data'!E$184</f>
        <v>6886.9622072881511</v>
      </c>
      <c r="F115" s="43">
        <f>'[3]14_15 fleet'!$D195*'Light Vehicle Supporting Data'!F$184</f>
        <v>7153.4837011911168</v>
      </c>
      <c r="G115" s="43">
        <f>'[4]15_16 fleet'!$D195*'Light Vehicle Supporting Data'!G$184</f>
        <v>7638.6107052434245</v>
      </c>
      <c r="H115" s="43">
        <f>'[5]16_17 fleet_v2'!$D195*'Light Vehicle Supporting Data'!H$184</f>
        <v>8351.458099942176</v>
      </c>
      <c r="I115" s="202">
        <f>'[6]17_18 fleet_v3'!$D196*'Light Vehicle Supporting Data'!I$184</f>
        <v>8725.8499133108689</v>
      </c>
      <c r="J115" s="202">
        <f t="shared" ref="J115:Q115" si="78">$I115*(J95/$I95)</f>
        <v>9904.6553471789757</v>
      </c>
      <c r="K115" s="202">
        <f t="shared" si="78"/>
        <v>10984.932353069404</v>
      </c>
      <c r="L115" s="202">
        <f t="shared" si="78"/>
        <v>12053.711818566928</v>
      </c>
      <c r="M115" s="202">
        <f t="shared" si="78"/>
        <v>13187.53682644591</v>
      </c>
      <c r="N115" s="202">
        <f t="shared" si="78"/>
        <v>14439.768283292757</v>
      </c>
      <c r="O115" s="167">
        <f t="shared" si="78"/>
        <v>15772.458639338713</v>
      </c>
      <c r="P115" s="167">
        <f t="shared" si="78"/>
        <v>17095.881363670615</v>
      </c>
      <c r="Q115" s="198">
        <f t="shared" si="78"/>
        <v>18354.817780541525</v>
      </c>
      <c r="R115" s="56"/>
    </row>
    <row r="116" spans="3:18" ht="15.5" x14ac:dyDescent="0.35">
      <c r="C116" s="24" t="s">
        <v>6</v>
      </c>
      <c r="D116" s="42">
        <f>'[1]12_13 fleet'!$D195*'Light Vehicle Supporting Data'!D$184</f>
        <v>4421.5776089728479</v>
      </c>
      <c r="E116" s="43">
        <f>'[2]13_14 fleet'!$D196*'Light Vehicle Supporting Data'!E$184</f>
        <v>4661.3586110938986</v>
      </c>
      <c r="F116" s="43">
        <f>'[3]14_15 fleet'!$D196*'Light Vehicle Supporting Data'!F$184</f>
        <v>4821.0217474246465</v>
      </c>
      <c r="G116" s="43">
        <f>'[4]15_16 fleet'!$D196*'Light Vehicle Supporting Data'!G$184</f>
        <v>4952.9896503739783</v>
      </c>
      <c r="H116" s="43">
        <f>'[5]16_17 fleet_v2'!$D196*'Light Vehicle Supporting Data'!H$184</f>
        <v>5121.7340378104709</v>
      </c>
      <c r="I116" s="202">
        <f>'[6]17_18 fleet_v3'!$D197*'Light Vehicle Supporting Data'!I$184</f>
        <v>5387.9947005135919</v>
      </c>
      <c r="J116" s="202">
        <f t="shared" ref="J116:Q116" si="79">$I116*(J96/$I96)</f>
        <v>6167.4003424394332</v>
      </c>
      <c r="K116" s="202">
        <f t="shared" si="79"/>
        <v>6889.6761784112405</v>
      </c>
      <c r="L116" s="202">
        <f t="shared" si="79"/>
        <v>7623.0243758483603</v>
      </c>
      <c r="M116" s="202">
        <f t="shared" si="79"/>
        <v>8412.8762437023579</v>
      </c>
      <c r="N116" s="202">
        <f t="shared" si="79"/>
        <v>9291.2142842267986</v>
      </c>
      <c r="O116" s="167">
        <f t="shared" si="79"/>
        <v>10234.39764684928</v>
      </c>
      <c r="P116" s="167">
        <f t="shared" si="79"/>
        <v>11184.664024547001</v>
      </c>
      <c r="Q116" s="198">
        <f t="shared" si="79"/>
        <v>12105.058020152566</v>
      </c>
      <c r="R116" s="56"/>
    </row>
    <row r="117" spans="3:18" ht="15.5" x14ac:dyDescent="0.35">
      <c r="C117" s="24" t="s">
        <v>7</v>
      </c>
      <c r="D117" s="42">
        <f>'[1]12_13 fleet'!$D196*'Light Vehicle Supporting Data'!D$184</f>
        <v>8553.9211914646748</v>
      </c>
      <c r="E117" s="43">
        <f>'[2]13_14 fleet'!$D197*'Light Vehicle Supporting Data'!E$184</f>
        <v>9036.5110043318818</v>
      </c>
      <c r="F117" s="43">
        <f>'[3]14_15 fleet'!$D197*'Light Vehicle Supporting Data'!F$184</f>
        <v>9483.9444006000012</v>
      </c>
      <c r="G117" s="43">
        <f>'[4]15_16 fleet'!$D197*'Light Vehicle Supporting Data'!G$184</f>
        <v>10097.094658974507</v>
      </c>
      <c r="H117" s="43">
        <f>'[5]16_17 fleet_v2'!$D197*'Light Vehicle Supporting Data'!H$184</f>
        <v>10787.758623886013</v>
      </c>
      <c r="I117" s="202">
        <f>'[6]17_18 fleet_v3'!$D198*'Light Vehicle Supporting Data'!I$184</f>
        <v>11357.312506133663</v>
      </c>
      <c r="J117" s="202">
        <f t="shared" ref="J117:Q117" si="80">$I117*(J97/$I97)</f>
        <v>12736.20684687732</v>
      </c>
      <c r="K117" s="202">
        <f t="shared" si="80"/>
        <v>13983.270764524417</v>
      </c>
      <c r="L117" s="202">
        <f t="shared" si="80"/>
        <v>15191.829724013516</v>
      </c>
      <c r="M117" s="202">
        <f t="shared" si="80"/>
        <v>16455.312413772637</v>
      </c>
      <c r="N117" s="202">
        <f t="shared" si="80"/>
        <v>17816.994886409848</v>
      </c>
      <c r="O117" s="167">
        <f t="shared" si="80"/>
        <v>19243.020762037453</v>
      </c>
      <c r="P117" s="167">
        <f t="shared" si="80"/>
        <v>20622.412496444354</v>
      </c>
      <c r="Q117" s="198">
        <f t="shared" si="80"/>
        <v>21890.396429830824</v>
      </c>
      <c r="R117" s="56"/>
    </row>
    <row r="118" spans="3:18" ht="15.5" x14ac:dyDescent="0.35">
      <c r="C118" s="24" t="s">
        <v>8</v>
      </c>
      <c r="D118" s="42">
        <f>'[1]12_13 fleet'!$D197*'Light Vehicle Supporting Data'!D$184</f>
        <v>13203.683430325664</v>
      </c>
      <c r="E118" s="43">
        <f>'[2]13_14 fleet'!$D198*'Light Vehicle Supporting Data'!E$184</f>
        <v>14044.119095768951</v>
      </c>
      <c r="F118" s="43">
        <f>'[3]14_15 fleet'!$D198*'Light Vehicle Supporting Data'!F$184</f>
        <v>14637.174371383921</v>
      </c>
      <c r="G118" s="43">
        <f>'[4]15_16 fleet'!$D198*'Light Vehicle Supporting Data'!G$184</f>
        <v>15438.318649620225</v>
      </c>
      <c r="H118" s="43">
        <f>'[5]16_17 fleet_v2'!$D198*'Light Vehicle Supporting Data'!H$184</f>
        <v>16913.028360060209</v>
      </c>
      <c r="I118" s="202">
        <f>'[6]17_18 fleet_v3'!$D199*'Light Vehicle Supporting Data'!I$184</f>
        <v>18138.081324217343</v>
      </c>
      <c r="J118" s="202">
        <f t="shared" ref="J118:Q118" si="81">$I118*(J98/$I98)</f>
        <v>20840.470668795693</v>
      </c>
      <c r="K118" s="202">
        <f t="shared" si="81"/>
        <v>23364.606106257055</v>
      </c>
      <c r="L118" s="202">
        <f t="shared" si="81"/>
        <v>25922.445271090412</v>
      </c>
      <c r="M118" s="202">
        <f t="shared" si="81"/>
        <v>28668.54035946562</v>
      </c>
      <c r="N118" s="202">
        <f t="shared" si="81"/>
        <v>31700.032715585356</v>
      </c>
      <c r="O118" s="167">
        <f t="shared" si="81"/>
        <v>34953.446940005051</v>
      </c>
      <c r="P118" s="167">
        <f t="shared" si="81"/>
        <v>38230.294443832099</v>
      </c>
      <c r="Q118" s="198">
        <f t="shared" si="81"/>
        <v>41402.565229050917</v>
      </c>
      <c r="R118" s="56"/>
    </row>
    <row r="119" spans="3:18" ht="15.5" x14ac:dyDescent="0.35">
      <c r="C119" s="24" t="s">
        <v>9</v>
      </c>
      <c r="D119" s="42">
        <f>'[1]12_13 fleet'!$D198*'Light Vehicle Supporting Data'!D$184</f>
        <v>7236.8555207068048</v>
      </c>
      <c r="E119" s="43">
        <f>'[2]13_14 fleet'!$D199*'Light Vehicle Supporting Data'!E$184</f>
        <v>7575.4582838086762</v>
      </c>
      <c r="F119" s="43">
        <f>'[3]14_15 fleet'!$D199*'Light Vehicle Supporting Data'!F$184</f>
        <v>8085.0676046473945</v>
      </c>
      <c r="G119" s="43">
        <f>'[4]15_16 fleet'!$D199*'Light Vehicle Supporting Data'!G$184</f>
        <v>8648.2201107438977</v>
      </c>
      <c r="H119" s="43">
        <f>'[5]16_17 fleet_v2'!$D199*'Light Vehicle Supporting Data'!H$184</f>
        <v>9425.0311850311846</v>
      </c>
      <c r="I119" s="202">
        <f>'[6]17_18 fleet_v3'!$D200*'Light Vehicle Supporting Data'!I$184</f>
        <v>10164.649612352383</v>
      </c>
      <c r="J119" s="202">
        <f t="shared" ref="J119:Q119" si="82">$I119*(J99/$I99)</f>
        <v>11384.354213329672</v>
      </c>
      <c r="K119" s="202">
        <f t="shared" si="82"/>
        <v>12499.141756432929</v>
      </c>
      <c r="L119" s="202">
        <f t="shared" si="82"/>
        <v>13578.371350045583</v>
      </c>
      <c r="M119" s="202">
        <f t="shared" si="82"/>
        <v>14697.083014219384</v>
      </c>
      <c r="N119" s="202">
        <f t="shared" si="82"/>
        <v>15879.257907435998</v>
      </c>
      <c r="O119" s="167">
        <f t="shared" si="82"/>
        <v>17105.106277549985</v>
      </c>
      <c r="P119" s="167">
        <f t="shared" si="82"/>
        <v>18273.693636243879</v>
      </c>
      <c r="Q119" s="198">
        <f t="shared" si="82"/>
        <v>19326.087618648031</v>
      </c>
      <c r="R119" s="56"/>
    </row>
    <row r="120" spans="3:18" ht="15.5" x14ac:dyDescent="0.35">
      <c r="C120" s="24" t="s">
        <v>10</v>
      </c>
      <c r="D120" s="42">
        <f>'[1]12_13 fleet'!$D199*'Light Vehicle Supporting Data'!D$184</f>
        <v>2027.6406147077839</v>
      </c>
      <c r="E120" s="43">
        <f>'[2]13_14 fleet'!$D200*'Light Vehicle Supporting Data'!E$184</f>
        <v>2023.4579458204944</v>
      </c>
      <c r="F120" s="43">
        <f>'[3]14_15 fleet'!$D200*'Light Vehicle Supporting Data'!F$184</f>
        <v>2019.2656468042626</v>
      </c>
      <c r="G120" s="43">
        <f>'[4]15_16 fleet'!$D200*'Light Vehicle Supporting Data'!G$184</f>
        <v>1916.1566021143774</v>
      </c>
      <c r="H120" s="43">
        <f>'[5]16_17 fleet_v2'!$D200*'Light Vehicle Supporting Data'!H$184</f>
        <v>1878.0024983337087</v>
      </c>
      <c r="I120" s="202">
        <f>'[6]17_18 fleet_v3'!$D201*'Light Vehicle Supporting Data'!I$184</f>
        <v>1979.1000032712877</v>
      </c>
      <c r="J120" s="202">
        <f t="shared" ref="J120:Q120" si="83">$I120*(J100/$I100)</f>
        <v>2151.6427011842079</v>
      </c>
      <c r="K120" s="202">
        <f t="shared" si="83"/>
        <v>2296.955983390149</v>
      </c>
      <c r="L120" s="202">
        <f t="shared" si="83"/>
        <v>2427.278769370113</v>
      </c>
      <c r="M120" s="202">
        <f t="shared" si="83"/>
        <v>2556.9911060198547</v>
      </c>
      <c r="N120" s="202">
        <f t="shared" si="83"/>
        <v>2695.8477555366362</v>
      </c>
      <c r="O120" s="167">
        <f t="shared" si="83"/>
        <v>2833.5934949333459</v>
      </c>
      <c r="P120" s="167">
        <f t="shared" si="83"/>
        <v>2953.6852632683808</v>
      </c>
      <c r="Q120" s="198">
        <f t="shared" si="83"/>
        <v>3047.8065758534567</v>
      </c>
      <c r="R120" s="56"/>
    </row>
    <row r="121" spans="3:18" ht="15.5" x14ac:dyDescent="0.35">
      <c r="C121" s="24" t="s">
        <v>11</v>
      </c>
      <c r="D121" s="42">
        <f>'[1]12_13 fleet'!$D200*'Light Vehicle Supporting Data'!D$184</f>
        <v>28655.185627005565</v>
      </c>
      <c r="E121" s="43">
        <f>'[2]13_14 fleet'!$D201*'Light Vehicle Supporting Data'!E$184</f>
        <v>32017.069000287287</v>
      </c>
      <c r="F121" s="43">
        <f>'[3]14_15 fleet'!$D201*'Light Vehicle Supporting Data'!F$184</f>
        <v>34871.857180935855</v>
      </c>
      <c r="G121" s="43">
        <f>'[4]15_16 fleet'!$D201*'Light Vehicle Supporting Data'!G$184</f>
        <v>36526.047312576098</v>
      </c>
      <c r="H121" s="43">
        <f>'[5]16_17 fleet_v2'!$D201*'Light Vehicle Supporting Data'!H$184</f>
        <v>38046.309537366862</v>
      </c>
      <c r="I121" s="202">
        <f>'[6]17_18 fleet_v3'!$D202*'Light Vehicle Supporting Data'!I$184</f>
        <v>39172.772612777648</v>
      </c>
      <c r="J121" s="202">
        <f t="shared" ref="J121:Q121" si="84">$I121*(J101/$I101)</f>
        <v>45856.796332157588</v>
      </c>
      <c r="K121" s="202">
        <f t="shared" si="84"/>
        <v>52048.277016826469</v>
      </c>
      <c r="L121" s="202">
        <f t="shared" si="84"/>
        <v>58429.392978882832</v>
      </c>
      <c r="M121" s="202">
        <f t="shared" si="84"/>
        <v>65380.271796292654</v>
      </c>
      <c r="N121" s="202">
        <f t="shared" si="84"/>
        <v>73133.354221665999</v>
      </c>
      <c r="O121" s="167">
        <f t="shared" si="84"/>
        <v>81563.720273503975</v>
      </c>
      <c r="P121" s="167">
        <f t="shared" si="84"/>
        <v>90219.196341555493</v>
      </c>
      <c r="Q121" s="198">
        <f t="shared" si="84"/>
        <v>98794.445487150311</v>
      </c>
      <c r="R121" s="56"/>
    </row>
    <row r="122" spans="3:18" ht="15.5" x14ac:dyDescent="0.35">
      <c r="C122" s="24" t="s">
        <v>12</v>
      </c>
      <c r="D122" s="42">
        <f>'[1]12_13 fleet'!$D201*'Light Vehicle Supporting Data'!D$184</f>
        <v>8399.7964853121575</v>
      </c>
      <c r="E122" s="43">
        <f>'[2]13_14 fleet'!$D202*'Light Vehicle Supporting Data'!E$184</f>
        <v>8876.395637699201</v>
      </c>
      <c r="F122" s="43">
        <f>'[3]14_15 fleet'!$D202*'Light Vehicle Supporting Data'!F$184</f>
        <v>9505.9581985334462</v>
      </c>
      <c r="G122" s="43">
        <f>'[4]15_16 fleet'!$D202*'Light Vehicle Supporting Data'!G$184</f>
        <v>10280.205185442879</v>
      </c>
      <c r="H122" s="43">
        <f>'[5]16_17 fleet_v2'!$D202*'Light Vehicle Supporting Data'!H$184</f>
        <v>11451.112729584067</v>
      </c>
      <c r="I122" s="202">
        <f>'[6]17_18 fleet_v3'!$D203*'Light Vehicle Supporting Data'!I$184</f>
        <v>17670.821616670481</v>
      </c>
      <c r="J122" s="202">
        <f t="shared" ref="J122:Q122" si="85">$I122*(J102/$I102)</f>
        <v>20630.529529910229</v>
      </c>
      <c r="K122" s="202">
        <f t="shared" si="85"/>
        <v>23300.380073044194</v>
      </c>
      <c r="L122" s="202">
        <f t="shared" si="85"/>
        <v>26035.40449383108</v>
      </c>
      <c r="M122" s="202">
        <f t="shared" si="85"/>
        <v>28986.229869934959</v>
      </c>
      <c r="N122" s="202">
        <f t="shared" si="85"/>
        <v>32271.104810394689</v>
      </c>
      <c r="O122" s="167">
        <f t="shared" si="85"/>
        <v>35820.090302194345</v>
      </c>
      <c r="P122" s="167">
        <f t="shared" si="85"/>
        <v>39431.29711224846</v>
      </c>
      <c r="Q122" s="198">
        <f t="shared" si="85"/>
        <v>42970.589466410987</v>
      </c>
      <c r="R122" s="56"/>
    </row>
    <row r="123" spans="3:18" ht="16" thickBot="1" x14ac:dyDescent="0.4">
      <c r="C123" s="25" t="s">
        <v>13</v>
      </c>
      <c r="D123" s="45">
        <f>'[1]12_13 fleet'!$D202*'Light Vehicle Supporting Data'!D$184</f>
        <v>4993.0399934734132</v>
      </c>
      <c r="E123" s="46">
        <f>'[2]13_14 fleet'!$D203*'Light Vehicle Supporting Data'!E$184</f>
        <v>5360.8626190704199</v>
      </c>
      <c r="F123" s="46">
        <f>'[3]14_15 fleet'!$D203*'Light Vehicle Supporting Data'!F$184</f>
        <v>5770.6169400991985</v>
      </c>
      <c r="G123" s="46">
        <f>'[4]15_16 fleet'!$D203*'Light Vehicle Supporting Data'!G$184</f>
        <v>6166.7222657080465</v>
      </c>
      <c r="H123" s="46">
        <f>'[5]16_17 fleet_v2'!$D203*'Light Vehicle Supporting Data'!H$184</f>
        <v>6480.4593402809969</v>
      </c>
      <c r="I123" s="203">
        <f>'[6]17_18 fleet_v3'!$D204*'Light Vehicle Supporting Data'!I$184</f>
        <v>6810.7855016519998</v>
      </c>
      <c r="J123" s="203">
        <f t="shared" ref="J123:Q123" si="86">$I123*(J103/$I103)</f>
        <v>7471.744684894662</v>
      </c>
      <c r="K123" s="203">
        <f t="shared" si="86"/>
        <v>8065.8340693110231</v>
      </c>
      <c r="L123" s="203">
        <f t="shared" si="86"/>
        <v>8630.3440068374275</v>
      </c>
      <c r="M123" s="203">
        <f t="shared" si="86"/>
        <v>9210.5599159516823</v>
      </c>
      <c r="N123" s="203">
        <f t="shared" si="86"/>
        <v>9833.5489193956619</v>
      </c>
      <c r="O123" s="171">
        <f t="shared" si="86"/>
        <v>10466.719191970833</v>
      </c>
      <c r="P123" s="171">
        <f t="shared" si="86"/>
        <v>11048.297187820466</v>
      </c>
      <c r="Q123" s="199">
        <f t="shared" si="86"/>
        <v>11544.540164048143</v>
      </c>
      <c r="R123" s="56"/>
    </row>
    <row r="124" spans="3:18" ht="16.5" thickTop="1" thickBot="1" x14ac:dyDescent="0.4">
      <c r="C124" s="20" t="s">
        <v>24</v>
      </c>
      <c r="D124" s="48">
        <f t="shared" ref="D124:N124" si="87">SUM(D110:D123)</f>
        <v>165611</v>
      </c>
      <c r="E124" s="48">
        <f t="shared" si="87"/>
        <v>177649</v>
      </c>
      <c r="F124" s="48">
        <f t="shared" si="87"/>
        <v>191453</v>
      </c>
      <c r="G124" s="48">
        <f t="shared" ref="G124:H124" si="88">SUM(G110:G123)</f>
        <v>207088.99999999997</v>
      </c>
      <c r="H124" s="48">
        <f t="shared" si="88"/>
        <v>226672.00000000006</v>
      </c>
      <c r="I124" s="48">
        <f t="shared" si="87"/>
        <v>244688</v>
      </c>
      <c r="J124" s="48">
        <f t="shared" si="87"/>
        <v>281886.9892931098</v>
      </c>
      <c r="K124" s="48">
        <f t="shared" si="87"/>
        <v>316187.90265184594</v>
      </c>
      <c r="L124" s="48">
        <f t="shared" si="87"/>
        <v>350972.42078617157</v>
      </c>
      <c r="M124" s="48">
        <f t="shared" si="87"/>
        <v>388332.06435755675</v>
      </c>
      <c r="N124" s="48">
        <f t="shared" si="87"/>
        <v>429631.60544043127</v>
      </c>
      <c r="O124" s="62">
        <f t="shared" ref="O124:Q124" si="89">SUM(O110:O123)</f>
        <v>474029.11007700546</v>
      </c>
      <c r="P124" s="62">
        <f t="shared" si="89"/>
        <v>518844.24935687199</v>
      </c>
      <c r="Q124" s="63">
        <f t="shared" si="89"/>
        <v>562345.39357604063</v>
      </c>
      <c r="R124" s="43"/>
    </row>
    <row r="125" spans="3:18" ht="16.5" thickTop="1" thickBot="1" x14ac:dyDescent="0.4">
      <c r="C125" s="31" t="s">
        <v>96</v>
      </c>
      <c r="D125" s="48">
        <f>SUM('[1]12_13 fleet'!$D$188:$D$202)</f>
        <v>165611</v>
      </c>
      <c r="E125" s="48">
        <f>SUM('[2]13_14 fleet'!$D$189:$D$203)</f>
        <v>177649</v>
      </c>
      <c r="F125" s="48">
        <f>SUM('[3]14_15 fleet'!$D$189:$D$203)</f>
        <v>191453</v>
      </c>
      <c r="G125" s="48">
        <f>SUM('[4]15_16 fleet'!$D$189:$D$203)</f>
        <v>207089</v>
      </c>
      <c r="H125" s="48">
        <f>SUM('[5]16_17 fleet_v2'!$D$189:$D$203)</f>
        <v>226672</v>
      </c>
      <c r="I125" s="48">
        <f>SUM('[6]17_18 fleet_v3'!$D$190:$D$204)</f>
        <v>244688</v>
      </c>
      <c r="J125" s="62"/>
      <c r="K125" s="62"/>
      <c r="L125" s="62"/>
      <c r="M125" s="62"/>
      <c r="N125" s="62"/>
      <c r="O125" s="62"/>
      <c r="P125" s="62"/>
      <c r="Q125" s="63"/>
      <c r="R125" s="56"/>
    </row>
    <row r="126" spans="3:18" ht="13" thickTop="1" x14ac:dyDescent="0.25"/>
    <row r="127" spans="3:18" ht="13" thickBot="1" x14ac:dyDescent="0.3"/>
    <row r="128" spans="3:18" ht="16" thickTop="1" x14ac:dyDescent="0.35">
      <c r="C128" s="32" t="s">
        <v>126</v>
      </c>
      <c r="D128" s="33"/>
      <c r="E128" s="33"/>
      <c r="F128" s="33"/>
      <c r="G128" s="33"/>
      <c r="H128" s="33"/>
      <c r="I128" s="33"/>
      <c r="J128" s="34"/>
      <c r="K128" s="34"/>
      <c r="L128" s="34"/>
      <c r="M128" s="34"/>
      <c r="N128" s="34"/>
      <c r="O128" s="34"/>
      <c r="P128" s="34"/>
      <c r="Q128" s="35"/>
      <c r="R128" s="121"/>
    </row>
    <row r="129" spans="3:18" ht="13.5" thickBot="1" x14ac:dyDescent="0.35">
      <c r="C129" s="36"/>
      <c r="D129" s="37" t="s">
        <v>25</v>
      </c>
      <c r="E129" s="37" t="s">
        <v>37</v>
      </c>
      <c r="F129" s="37" t="s">
        <v>38</v>
      </c>
      <c r="G129" s="37" t="s">
        <v>177</v>
      </c>
      <c r="H129" s="37" t="s">
        <v>178</v>
      </c>
      <c r="I129" s="37" t="s">
        <v>26</v>
      </c>
      <c r="J129" s="37" t="s">
        <v>27</v>
      </c>
      <c r="K129" s="37" t="s">
        <v>28</v>
      </c>
      <c r="L129" s="37" t="s">
        <v>29</v>
      </c>
      <c r="M129" s="37" t="s">
        <v>30</v>
      </c>
      <c r="N129" s="37" t="s">
        <v>31</v>
      </c>
      <c r="O129" s="37" t="s">
        <v>174</v>
      </c>
      <c r="P129" s="37" t="s">
        <v>175</v>
      </c>
      <c r="Q129" s="38" t="s">
        <v>176</v>
      </c>
      <c r="R129" s="65"/>
    </row>
    <row r="130" spans="3:18" ht="14" thickTop="1" thickBot="1" x14ac:dyDescent="0.35">
      <c r="C130" s="70"/>
      <c r="D130" s="65" t="s">
        <v>39</v>
      </c>
      <c r="E130" s="65" t="s">
        <v>39</v>
      </c>
      <c r="F130" s="65" t="s">
        <v>39</v>
      </c>
      <c r="G130" s="65" t="s">
        <v>39</v>
      </c>
      <c r="H130" s="65" t="s">
        <v>39</v>
      </c>
      <c r="I130" s="65" t="s">
        <v>39</v>
      </c>
      <c r="J130" s="65" t="s">
        <v>32</v>
      </c>
      <c r="K130" s="65" t="s">
        <v>32</v>
      </c>
      <c r="L130" s="65" t="s">
        <v>32</v>
      </c>
      <c r="M130" s="65" t="s">
        <v>32</v>
      </c>
      <c r="N130" s="65" t="s">
        <v>32</v>
      </c>
      <c r="O130" s="65" t="s">
        <v>32</v>
      </c>
      <c r="P130" s="65" t="s">
        <v>32</v>
      </c>
      <c r="Q130" s="66" t="s">
        <v>32</v>
      </c>
      <c r="R130" s="65"/>
    </row>
    <row r="131" spans="3:18" ht="16" thickTop="1" x14ac:dyDescent="0.35">
      <c r="C131" s="24" t="s">
        <v>0</v>
      </c>
      <c r="D131" s="52">
        <f>D7*(('[1]12_13 fleet'!$D377+'[1]12_13 fleet'!$D392)/'Original 2012-13 Data'!$D6)/1000000</f>
        <v>2.1369904443490269</v>
      </c>
      <c r="E131" s="53">
        <f>E7*(('[2]13_14 fleet'!$D379+'[2]13_14 fleet'!$D394)/'Original 2013-14 Data'!$D6)/1000000</f>
        <v>1.9065769815510174</v>
      </c>
      <c r="F131" s="53">
        <f>F7*(('[3]14_15 fleet'!$D379+'[3]14_15 fleet'!$D394)/'Original 2014-15 Data'!$D6)/1000000</f>
        <v>1.8012477605296968</v>
      </c>
      <c r="G131" s="53">
        <f>G7*(('[4]15_16 fleet'!$D379+'[4]15_16 fleet'!$D394)/'Original 2015-16 Data'!$D6)/1000000</f>
        <v>1.9897735475121687</v>
      </c>
      <c r="H131" s="53">
        <f>H7*(('[5]16_17 fleet_v2'!$D379+'[5]16_17 fleet_v2'!$D394)/'Original 2016-17 Data'!$D6)/1000000</f>
        <v>2.2714390165953389</v>
      </c>
      <c r="I131" s="129">
        <f>I7*(('[6]17_18 fleet_v3'!$D381+'[6]17_18 fleet_v3'!$D396)/'Original 2017-18 Data'!$D6)/1000000</f>
        <v>2.3843531850304203</v>
      </c>
      <c r="J131" s="129">
        <f ca="1">$I131*(Taxi_Household_Share*('Taxi-Vehicle Share Supporting D'!J116/'Taxi-Vehicle Share Supporting D'!$I116)+Taxi_Tourist_Share*('Taxi-Vehicle Share Supporting D'!J137/'Taxi-Vehicle Share Supporting D'!$I137)+Taxi_Commercial_Share*('Taxi-Vehicle Share Supporting D'!J200/'Taxi-Vehicle Share Supporting D'!$I200))+'Taxi-Vehicle Share Supporting D'!J95*($I49/('Car+SUV'!$I49+$I49))+'Taxi-Vehicle Share Supporting D'!J179</f>
        <v>2.7997294426457544</v>
      </c>
      <c r="K131" s="129">
        <f ca="1">$I131*(Taxi_Household_Share*('Taxi-Vehicle Share Supporting D'!K116/'Taxi-Vehicle Share Supporting D'!$I116)+Taxi_Tourist_Share*('Taxi-Vehicle Share Supporting D'!K137/'Taxi-Vehicle Share Supporting D'!$I137)+Taxi_Commercial_Share*('Taxi-Vehicle Share Supporting D'!K200/'Taxi-Vehicle Share Supporting D'!$I200))+'Taxi-Vehicle Share Supporting D'!K95*($I49/('Car+SUV'!$I49+$I49))+'Taxi-Vehicle Share Supporting D'!K179</f>
        <v>33.134831530589487</v>
      </c>
      <c r="L131" s="129">
        <f ca="1">$I131*(Taxi_Household_Share*('Taxi-Vehicle Share Supporting D'!L116/'Taxi-Vehicle Share Supporting D'!$I116)+Taxi_Tourist_Share*('Taxi-Vehicle Share Supporting D'!L137/'Taxi-Vehicle Share Supporting D'!$I137)+Taxi_Commercial_Share*('Taxi-Vehicle Share Supporting D'!L200/'Taxi-Vehicle Share Supporting D'!$I200))+'Taxi-Vehicle Share Supporting D'!L95*($I49/('Car+SUV'!$I49+$I49))+'Taxi-Vehicle Share Supporting D'!L179</f>
        <v>65.616504351750947</v>
      </c>
      <c r="M131" s="129">
        <f ca="1">$I131*(Taxi_Household_Share*('Taxi-Vehicle Share Supporting D'!M116/'Taxi-Vehicle Share Supporting D'!$I116)+Taxi_Tourist_Share*('Taxi-Vehicle Share Supporting D'!M137/'Taxi-Vehicle Share Supporting D'!$I137)+Taxi_Commercial_Share*('Taxi-Vehicle Share Supporting D'!M200/'Taxi-Vehicle Share Supporting D'!$I200))+'Taxi-Vehicle Share Supporting D'!M95*($I49/('Car+SUV'!$I49+$I49))+'Taxi-Vehicle Share Supporting D'!M179</f>
        <v>99.1847231679955</v>
      </c>
      <c r="N131" s="129">
        <f ca="1">$I131*(Taxi_Household_Share*('Taxi-Vehicle Share Supporting D'!N116/'Taxi-Vehicle Share Supporting D'!$I116)+Taxi_Tourist_Share*('Taxi-Vehicle Share Supporting D'!N137/'Taxi-Vehicle Share Supporting D'!$I137)+Taxi_Commercial_Share*('Taxi-Vehicle Share Supporting D'!N200/'Taxi-Vehicle Share Supporting D'!$I200))+'Taxi-Vehicle Share Supporting D'!N95*($I49/('Car+SUV'!$I49+$I49))+'Taxi-Vehicle Share Supporting D'!N179</f>
        <v>133.5023006375803</v>
      </c>
      <c r="O131" s="129">
        <f ca="1">$I131*(Taxi_Household_Share*('Taxi-Vehicle Share Supporting D'!O116/'Taxi-Vehicle Share Supporting D'!$I116)+Taxi_Tourist_Share*('Taxi-Vehicle Share Supporting D'!O137/'Taxi-Vehicle Share Supporting D'!$I137)+Taxi_Commercial_Share*('Taxi-Vehicle Share Supporting D'!O200/'Taxi-Vehicle Share Supporting D'!$I200))+'Taxi-Vehicle Share Supporting D'!O95*($I49/('Car+SUV'!$I49+$I49))+'Taxi-Vehicle Share Supporting D'!O179</f>
        <v>168.51275146702301</v>
      </c>
      <c r="P131" s="129">
        <f ca="1">$I131*(Taxi_Household_Share*('Taxi-Vehicle Share Supporting D'!P116/'Taxi-Vehicle Share Supporting D'!$I116)+Taxi_Tourist_Share*('Taxi-Vehicle Share Supporting D'!P137/'Taxi-Vehicle Share Supporting D'!$I137)+Taxi_Commercial_Share*('Taxi-Vehicle Share Supporting D'!P200/'Taxi-Vehicle Share Supporting D'!$I200))+'Taxi-Vehicle Share Supporting D'!P95*($I49/('Car+SUV'!$I49+$I49))+'Taxi-Vehicle Share Supporting D'!P179</f>
        <v>203.98197803760164</v>
      </c>
      <c r="Q131" s="197">
        <f ca="1">$I131*(Taxi_Household_Share*('Taxi-Vehicle Share Supporting D'!Q116/'Taxi-Vehicle Share Supporting D'!$I116)+Taxi_Tourist_Share*('Taxi-Vehicle Share Supporting D'!Q137/'Taxi-Vehicle Share Supporting D'!$I137)+Taxi_Commercial_Share*('Taxi-Vehicle Share Supporting D'!Q200/'Taxi-Vehicle Share Supporting D'!$I200))+'Taxi-Vehicle Share Supporting D'!Q95*($I49/('Car+SUV'!$I49+$I49))+'Taxi-Vehicle Share Supporting D'!Q179</f>
        <v>239.88134569165572</v>
      </c>
      <c r="R131" s="56"/>
    </row>
    <row r="132" spans="3:18" ht="15.5" x14ac:dyDescent="0.35">
      <c r="C132" s="24" t="s">
        <v>1</v>
      </c>
      <c r="D132" s="55">
        <f>D8*(('[1]12_13 fleet'!$D378+'[1]12_13 fleet'!$D393)/'Original 2012-13 Data'!$D7)/1000000</f>
        <v>24.207954994419435</v>
      </c>
      <c r="E132" s="56">
        <f>E8*(('[2]13_14 fleet'!$D380+'[2]13_14 fleet'!$D395)/'Original 2013-14 Data'!$D7)/1000000</f>
        <v>22.861305259071852</v>
      </c>
      <c r="F132" s="56">
        <f>F8*(('[3]14_15 fleet'!$D380+'[3]14_15 fleet'!$D395)/'Original 2014-15 Data'!$D7)/1000000</f>
        <v>22.777544786852232</v>
      </c>
      <c r="G132" s="56">
        <f>G8*(('[4]15_16 fleet'!$D380+'[4]15_16 fleet'!$D395)/'Original 2015-16 Data'!$D7)/1000000</f>
        <v>20.876973683471043</v>
      </c>
      <c r="H132" s="56">
        <f>H8*(('[5]16_17 fleet_v2'!$D380+'[5]16_17 fleet_v2'!$D395)/'Original 2016-17 Data'!$D7)/1000000</f>
        <v>22.958100850842346</v>
      </c>
      <c r="I132" s="167">
        <f>I8*(('[6]17_18 fleet_v3'!$D382+'[6]17_18 fleet_v3'!$D397)/'Original 2017-18 Data'!$D7)/1000000</f>
        <v>23.390787138719141</v>
      </c>
      <c r="J132" s="167">
        <f ca="1">$I132*(Taxi_Household_Share*('Taxi-Vehicle Share Supporting D'!J117/'Taxi-Vehicle Share Supporting D'!$I117)+Taxi_Tourist_Share*('Taxi-Vehicle Share Supporting D'!J138/'Taxi-Vehicle Share Supporting D'!$I138)+Taxi_Commercial_Share*('Taxi-Vehicle Share Supporting D'!J201/'Taxi-Vehicle Share Supporting D'!$I201))+'Taxi-Vehicle Share Supporting D'!J96*($I50/('Car+SUV'!$I50+$I50))+'Taxi-Vehicle Share Supporting D'!J180</f>
        <v>27.949907650321144</v>
      </c>
      <c r="K132" s="167">
        <f ca="1">$I132*(Taxi_Household_Share*('Taxi-Vehicle Share Supporting D'!K117/'Taxi-Vehicle Share Supporting D'!$I117)+Taxi_Tourist_Share*('Taxi-Vehicle Share Supporting D'!K138/'Taxi-Vehicle Share Supporting D'!$I138)+Taxi_Commercial_Share*('Taxi-Vehicle Share Supporting D'!K201/'Taxi-Vehicle Share Supporting D'!$I201))+'Taxi-Vehicle Share Supporting D'!K96*($I50/('Car+SUV'!$I50+$I50))+'Taxi-Vehicle Share Supporting D'!K180</f>
        <v>115.20243736469735</v>
      </c>
      <c r="L132" s="167">
        <f ca="1">$I132*(Taxi_Household_Share*('Taxi-Vehicle Share Supporting D'!L117/'Taxi-Vehicle Share Supporting D'!$I117)+Taxi_Tourist_Share*('Taxi-Vehicle Share Supporting D'!L138/'Taxi-Vehicle Share Supporting D'!$I138)+Taxi_Commercial_Share*('Taxi-Vehicle Share Supporting D'!L201/'Taxi-Vehicle Share Supporting D'!$I201))+'Taxi-Vehicle Share Supporting D'!L96*($I50/('Car+SUV'!$I50+$I50))+'Taxi-Vehicle Share Supporting D'!L180</f>
        <v>210.59495567761442</v>
      </c>
      <c r="M132" s="167">
        <f ca="1">$I132*(Taxi_Household_Share*('Taxi-Vehicle Share Supporting D'!M117/'Taxi-Vehicle Share Supporting D'!$I117)+Taxi_Tourist_Share*('Taxi-Vehicle Share Supporting D'!M138/'Taxi-Vehicle Share Supporting D'!$I138)+Taxi_Commercial_Share*('Taxi-Vehicle Share Supporting D'!M201/'Taxi-Vehicle Share Supporting D'!$I201))+'Taxi-Vehicle Share Supporting D'!M96*($I50/('Car+SUV'!$I50+$I50))+'Taxi-Vehicle Share Supporting D'!M180</f>
        <v>311.54374513723906</v>
      </c>
      <c r="N132" s="167">
        <f ca="1">$I132*(Taxi_Household_Share*('Taxi-Vehicle Share Supporting D'!N117/'Taxi-Vehicle Share Supporting D'!$I117)+Taxi_Tourist_Share*('Taxi-Vehicle Share Supporting D'!N138/'Taxi-Vehicle Share Supporting D'!$I138)+Taxi_Commercial_Share*('Taxi-Vehicle Share Supporting D'!N201/'Taxi-Vehicle Share Supporting D'!$I201))+'Taxi-Vehicle Share Supporting D'!N96*($I50/('Car+SUV'!$I50+$I50))+'Taxi-Vehicle Share Supporting D'!N180</f>
        <v>417.85629180027786</v>
      </c>
      <c r="O132" s="167">
        <f ca="1">$I132*(Taxi_Household_Share*('Taxi-Vehicle Share Supporting D'!O117/'Taxi-Vehicle Share Supporting D'!$I117)+Taxi_Tourist_Share*('Taxi-Vehicle Share Supporting D'!O138/'Taxi-Vehicle Share Supporting D'!$I138)+Taxi_Commercial_Share*('Taxi-Vehicle Share Supporting D'!O201/'Taxi-Vehicle Share Supporting D'!$I201))+'Taxi-Vehicle Share Supporting D'!O96*($I50/('Car+SUV'!$I50+$I50))+'Taxi-Vehicle Share Supporting D'!O180</f>
        <v>529.23274043749211</v>
      </c>
      <c r="P132" s="167">
        <f ca="1">$I132*(Taxi_Household_Share*('Taxi-Vehicle Share Supporting D'!P117/'Taxi-Vehicle Share Supporting D'!$I117)+Taxi_Tourist_Share*('Taxi-Vehicle Share Supporting D'!P138/'Taxi-Vehicle Share Supporting D'!$I138)+Taxi_Commercial_Share*('Taxi-Vehicle Share Supporting D'!P201/'Taxi-Vehicle Share Supporting D'!$I201))+'Taxi-Vehicle Share Supporting D'!P96*($I50/('Car+SUV'!$I50+$I50))+'Taxi-Vehicle Share Supporting D'!P180</f>
        <v>645.13061176978431</v>
      </c>
      <c r="Q132" s="198">
        <f ca="1">$I132*(Taxi_Household_Share*('Taxi-Vehicle Share Supporting D'!Q117/'Taxi-Vehicle Share Supporting D'!$I117)+Taxi_Tourist_Share*('Taxi-Vehicle Share Supporting D'!Q138/'Taxi-Vehicle Share Supporting D'!$I138)+Taxi_Commercial_Share*('Taxi-Vehicle Share Supporting D'!Q201/'Taxi-Vehicle Share Supporting D'!$I201))+'Taxi-Vehicle Share Supporting D'!Q96*($I50/('Car+SUV'!$I50+$I50))+'Taxi-Vehicle Share Supporting D'!Q180</f>
        <v>765.31370818931714</v>
      </c>
      <c r="R132" s="56"/>
    </row>
    <row r="133" spans="3:18" ht="15.5" x14ac:dyDescent="0.35">
      <c r="C133" s="24" t="s">
        <v>2</v>
      </c>
      <c r="D133" s="55">
        <f>D9*(('[1]12_13 fleet'!$D379+'[1]12_13 fleet'!$D394)/'Original 2012-13 Data'!$D8)/1000000</f>
        <v>6.7015468266807012</v>
      </c>
      <c r="E133" s="56">
        <f>E9*(('[2]13_14 fleet'!$D381+'[2]13_14 fleet'!$D396)/'Original 2013-14 Data'!$D8)/1000000</f>
        <v>6.8449134925873842</v>
      </c>
      <c r="F133" s="56">
        <f>F9*(('[3]14_15 fleet'!$D381+'[3]14_15 fleet'!$D396)/'Original 2014-15 Data'!$D8)/1000000</f>
        <v>7.0089014511039371</v>
      </c>
      <c r="G133" s="56">
        <f>G9*(('[4]15_16 fleet'!$D381+'[4]15_16 fleet'!$D396)/'Original 2015-16 Data'!$D8)/1000000</f>
        <v>7.2110971783858417</v>
      </c>
      <c r="H133" s="56">
        <f>H9*(('[5]16_17 fleet_v2'!$D381+'[5]16_17 fleet_v2'!$D396)/'Original 2016-17 Data'!$D8)/1000000</f>
        <v>8.6694360654512526</v>
      </c>
      <c r="I133" s="167">
        <f>I9*(('[6]17_18 fleet_v3'!$D383+'[6]17_18 fleet_v3'!$D398)/'Original 2017-18 Data'!$D8)/1000000</f>
        <v>8.6981560391589721</v>
      </c>
      <c r="J133" s="167">
        <f ca="1">$I133*(Taxi_Household_Share*('Taxi-Vehicle Share Supporting D'!J118/'Taxi-Vehicle Share Supporting D'!$I118)+Taxi_Tourist_Share*('Taxi-Vehicle Share Supporting D'!J139/'Taxi-Vehicle Share Supporting D'!$I139)+Taxi_Commercial_Share*('Taxi-Vehicle Share Supporting D'!J202/'Taxi-Vehicle Share Supporting D'!$I202))+'Taxi-Vehicle Share Supporting D'!J97*($I51/('Car+SUV'!$I51+$I51))+'Taxi-Vehicle Share Supporting D'!J181</f>
        <v>10.222510466865629</v>
      </c>
      <c r="K133" s="167">
        <f ca="1">$I133*(Taxi_Household_Share*('Taxi-Vehicle Share Supporting D'!K118/'Taxi-Vehicle Share Supporting D'!$I118)+Taxi_Tourist_Share*('Taxi-Vehicle Share Supporting D'!K139/'Taxi-Vehicle Share Supporting D'!$I139)+Taxi_Commercial_Share*('Taxi-Vehicle Share Supporting D'!K202/'Taxi-Vehicle Share Supporting D'!$I202))+'Taxi-Vehicle Share Supporting D'!K97*($I51/('Car+SUV'!$I51+$I51))+'Taxi-Vehicle Share Supporting D'!K181</f>
        <v>85.282001374432312</v>
      </c>
      <c r="L133" s="167">
        <f ca="1">$I133*(Taxi_Household_Share*('Taxi-Vehicle Share Supporting D'!L118/'Taxi-Vehicle Share Supporting D'!$I118)+Taxi_Tourist_Share*('Taxi-Vehicle Share Supporting D'!L139/'Taxi-Vehicle Share Supporting D'!$I139)+Taxi_Commercial_Share*('Taxi-Vehicle Share Supporting D'!L202/'Taxi-Vehicle Share Supporting D'!$I202))+'Taxi-Vehicle Share Supporting D'!L97*($I51/('Car+SUV'!$I51+$I51))+'Taxi-Vehicle Share Supporting D'!L181</f>
        <v>166.0093538398564</v>
      </c>
      <c r="M133" s="167">
        <f ca="1">$I133*(Taxi_Household_Share*('Taxi-Vehicle Share Supporting D'!M118/'Taxi-Vehicle Share Supporting D'!$I118)+Taxi_Tourist_Share*('Taxi-Vehicle Share Supporting D'!M139/'Taxi-Vehicle Share Supporting D'!$I139)+Taxi_Commercial_Share*('Taxi-Vehicle Share Supporting D'!M202/'Taxi-Vehicle Share Supporting D'!$I202))+'Taxi-Vehicle Share Supporting D'!M97*($I51/('Car+SUV'!$I51+$I51))+'Taxi-Vehicle Share Supporting D'!M181</f>
        <v>249.796154879878</v>
      </c>
      <c r="N133" s="167">
        <f ca="1">$I133*(Taxi_Household_Share*('Taxi-Vehicle Share Supporting D'!N118/'Taxi-Vehicle Share Supporting D'!$I118)+Taxi_Tourist_Share*('Taxi-Vehicle Share Supporting D'!N139/'Taxi-Vehicle Share Supporting D'!$I139)+Taxi_Commercial_Share*('Taxi-Vehicle Share Supporting D'!N202/'Taxi-Vehicle Share Supporting D'!$I202))+'Taxi-Vehicle Share Supporting D'!N97*($I51/('Car+SUV'!$I51+$I51))+'Taxi-Vehicle Share Supporting D'!N181</f>
        <v>336.10736169855403</v>
      </c>
      <c r="O133" s="167">
        <f ca="1">$I133*(Taxi_Household_Share*('Taxi-Vehicle Share Supporting D'!O118/'Taxi-Vehicle Share Supporting D'!$I118)+Taxi_Tourist_Share*('Taxi-Vehicle Share Supporting D'!O139/'Taxi-Vehicle Share Supporting D'!$I139)+Taxi_Commercial_Share*('Taxi-Vehicle Share Supporting D'!O202/'Taxi-Vehicle Share Supporting D'!$I202))+'Taxi-Vehicle Share Supporting D'!O97*($I51/('Car+SUV'!$I51+$I51))+'Taxi-Vehicle Share Supporting D'!O181</f>
        <v>424.55896377281948</v>
      </c>
      <c r="P133" s="167">
        <f ca="1">$I133*(Taxi_Household_Share*('Taxi-Vehicle Share Supporting D'!P118/'Taxi-Vehicle Share Supporting D'!$I118)+Taxi_Tourist_Share*('Taxi-Vehicle Share Supporting D'!P139/'Taxi-Vehicle Share Supporting D'!$I139)+Taxi_Commercial_Share*('Taxi-Vehicle Share Supporting D'!P202/'Taxi-Vehicle Share Supporting D'!$I202))+'Taxi-Vehicle Share Supporting D'!P97*($I51/('Car+SUV'!$I51+$I51))+'Taxi-Vehicle Share Supporting D'!P181</f>
        <v>514.46153209262422</v>
      </c>
      <c r="Q133" s="198">
        <f ca="1">$I133*(Taxi_Household_Share*('Taxi-Vehicle Share Supporting D'!Q118/'Taxi-Vehicle Share Supporting D'!$I118)+Taxi_Tourist_Share*('Taxi-Vehicle Share Supporting D'!Q139/'Taxi-Vehicle Share Supporting D'!$I139)+Taxi_Commercial_Share*('Taxi-Vehicle Share Supporting D'!Q202/'Taxi-Vehicle Share Supporting D'!$I202))+'Taxi-Vehicle Share Supporting D'!Q97*($I51/('Car+SUV'!$I51+$I51))+'Taxi-Vehicle Share Supporting D'!Q181</f>
        <v>605.62605278778472</v>
      </c>
      <c r="R133" s="56"/>
    </row>
    <row r="134" spans="3:18" ht="15.5" x14ac:dyDescent="0.35">
      <c r="C134" s="24" t="s">
        <v>3</v>
      </c>
      <c r="D134" s="55">
        <f>D10*(('[1]12_13 fleet'!$D380+'[1]12_13 fleet'!$D395)/'Original 2012-13 Data'!$D9)/1000000</f>
        <v>4.5656498431876278</v>
      </c>
      <c r="E134" s="56">
        <f>E10*(('[2]13_14 fleet'!$D382+'[2]13_14 fleet'!$D397)/'Original 2013-14 Data'!$D9)/1000000</f>
        <v>5.1908971239750379</v>
      </c>
      <c r="F134" s="56">
        <f>F10*(('[3]14_15 fleet'!$D382+'[3]14_15 fleet'!$D397)/'Original 2014-15 Data'!$D9)/1000000</f>
        <v>4.7054084877031324</v>
      </c>
      <c r="G134" s="56">
        <f>G10*(('[4]15_16 fleet'!$D382+'[4]15_16 fleet'!$D397)/'Original 2015-16 Data'!$D9)/1000000</f>
        <v>4.4467812516334702</v>
      </c>
      <c r="H134" s="56">
        <f>H10*(('[5]16_17 fleet_v2'!$D382+'[5]16_17 fleet_v2'!$D397)/'Original 2016-17 Data'!$D9)/1000000</f>
        <v>5.6797428102827707</v>
      </c>
      <c r="I134" s="167">
        <f>I10*(('[6]17_18 fleet_v3'!$D384+'[6]17_18 fleet_v3'!$D399)/'Original 2017-18 Data'!$D9)/1000000</f>
        <v>5.8521589952003463</v>
      </c>
      <c r="J134" s="167">
        <f ca="1">$I134*(Taxi_Household_Share*('Taxi-Vehicle Share Supporting D'!J119/'Taxi-Vehicle Share Supporting D'!$I119)+Taxi_Tourist_Share*('Taxi-Vehicle Share Supporting D'!J140/'Taxi-Vehicle Share Supporting D'!$I140)+Taxi_Commercial_Share*('Taxi-Vehicle Share Supporting D'!J203/'Taxi-Vehicle Share Supporting D'!$I203))+'Taxi-Vehicle Share Supporting D'!J98*($I52/('Car+SUV'!$I52+$I52))+'Taxi-Vehicle Share Supporting D'!J182</f>
        <v>6.8453571827173549</v>
      </c>
      <c r="K134" s="167">
        <f ca="1">$I134*(Taxi_Household_Share*('Taxi-Vehicle Share Supporting D'!K119/'Taxi-Vehicle Share Supporting D'!$I119)+Taxi_Tourist_Share*('Taxi-Vehicle Share Supporting D'!K140/'Taxi-Vehicle Share Supporting D'!$I140)+Taxi_Commercial_Share*('Taxi-Vehicle Share Supporting D'!K203/'Taxi-Vehicle Share Supporting D'!$I203))+'Taxi-Vehicle Share Supporting D'!K98*($I52/('Car+SUV'!$I52+$I52))+'Taxi-Vehicle Share Supporting D'!K182</f>
        <v>46.649706493814513</v>
      </c>
      <c r="L134" s="167">
        <f ca="1">$I134*(Taxi_Household_Share*('Taxi-Vehicle Share Supporting D'!L119/'Taxi-Vehicle Share Supporting D'!$I119)+Taxi_Tourist_Share*('Taxi-Vehicle Share Supporting D'!L140/'Taxi-Vehicle Share Supporting D'!$I140)+Taxi_Commercial_Share*('Taxi-Vehicle Share Supporting D'!L203/'Taxi-Vehicle Share Supporting D'!$I203))+'Taxi-Vehicle Share Supporting D'!L98*($I52/('Car+SUV'!$I52+$I52))+'Taxi-Vehicle Share Supporting D'!L182</f>
        <v>88.85684383861684</v>
      </c>
      <c r="M134" s="167">
        <f ca="1">$I134*(Taxi_Household_Share*('Taxi-Vehicle Share Supporting D'!M119/'Taxi-Vehicle Share Supporting D'!$I119)+Taxi_Tourist_Share*('Taxi-Vehicle Share Supporting D'!M140/'Taxi-Vehicle Share Supporting D'!$I140)+Taxi_Commercial_Share*('Taxi-Vehicle Share Supporting D'!M203/'Taxi-Vehicle Share Supporting D'!$I203))+'Taxi-Vehicle Share Supporting D'!M98*($I52/('Car+SUV'!$I52+$I52))+'Taxi-Vehicle Share Supporting D'!M182</f>
        <v>132.02637749020204</v>
      </c>
      <c r="N134" s="167">
        <f ca="1">$I134*(Taxi_Household_Share*('Taxi-Vehicle Share Supporting D'!N119/'Taxi-Vehicle Share Supporting D'!$I119)+Taxi_Tourist_Share*('Taxi-Vehicle Share Supporting D'!N140/'Taxi-Vehicle Share Supporting D'!$I140)+Taxi_Commercial_Share*('Taxi-Vehicle Share Supporting D'!N203/'Taxi-Vehicle Share Supporting D'!$I203))+'Taxi-Vehicle Share Supporting D'!N98*($I52/('Car+SUV'!$I52+$I52))+'Taxi-Vehicle Share Supporting D'!N182</f>
        <v>175.91183874115882</v>
      </c>
      <c r="O134" s="167">
        <f ca="1">$I134*(Taxi_Household_Share*('Taxi-Vehicle Share Supporting D'!O119/'Taxi-Vehicle Share Supporting D'!$I119)+Taxi_Tourist_Share*('Taxi-Vehicle Share Supporting D'!O140/'Taxi-Vehicle Share Supporting D'!$I140)+Taxi_Commercial_Share*('Taxi-Vehicle Share Supporting D'!O203/'Taxi-Vehicle Share Supporting D'!$I203))+'Taxi-Vehicle Share Supporting D'!O98*($I52/('Car+SUV'!$I52+$I52))+'Taxi-Vehicle Share Supporting D'!O182</f>
        <v>220.21893128516371</v>
      </c>
      <c r="P134" s="167">
        <f ca="1">$I134*(Taxi_Household_Share*('Taxi-Vehicle Share Supporting D'!P119/'Taxi-Vehicle Share Supporting D'!$I119)+Taxi_Tourist_Share*('Taxi-Vehicle Share Supporting D'!P140/'Taxi-Vehicle Share Supporting D'!$I140)+Taxi_Commercial_Share*('Taxi-Vehicle Share Supporting D'!P203/'Taxi-Vehicle Share Supporting D'!$I203))+'Taxi-Vehicle Share Supporting D'!P98*($I52/('Car+SUV'!$I52+$I52))+'Taxi-Vehicle Share Supporting D'!P182</f>
        <v>264.62118334902021</v>
      </c>
      <c r="Q134" s="198">
        <f ca="1">$I134*(Taxi_Household_Share*('Taxi-Vehicle Share Supporting D'!Q119/'Taxi-Vehicle Share Supporting D'!$I119)+Taxi_Tourist_Share*('Taxi-Vehicle Share Supporting D'!Q140/'Taxi-Vehicle Share Supporting D'!$I140)+Taxi_Commercial_Share*('Taxi-Vehicle Share Supporting D'!Q203/'Taxi-Vehicle Share Supporting D'!$I203))+'Taxi-Vehicle Share Supporting D'!Q98*($I52/('Car+SUV'!$I52+$I52))+'Taxi-Vehicle Share Supporting D'!Q182</f>
        <v>309.01167499768098</v>
      </c>
      <c r="R134" s="56"/>
    </row>
    <row r="135" spans="3:18" ht="15.5" x14ac:dyDescent="0.35">
      <c r="C135" s="24" t="s">
        <v>4</v>
      </c>
      <c r="D135" s="55">
        <f>D11*(('[1]12_13 fleet'!$D381+'[1]12_13 fleet'!$D396)/'Original 2012-13 Data'!$D10)/1000000</f>
        <v>0.46643296750043733</v>
      </c>
      <c r="E135" s="56">
        <f>E11*(('[2]13_14 fleet'!$D383+'[2]13_14 fleet'!$D398)/'Original 2013-14 Data'!$D10)/1000000</f>
        <v>0.48574461475523228</v>
      </c>
      <c r="F135" s="56">
        <f>F11*(('[3]14_15 fleet'!$D383+'[3]14_15 fleet'!$D398)/'Original 2014-15 Data'!$D10)/1000000</f>
        <v>0.60865303204104837</v>
      </c>
      <c r="G135" s="56">
        <f>G11*(('[4]15_16 fleet'!$D383+'[4]15_16 fleet'!$D398)/'Original 2015-16 Data'!$D10)/1000000</f>
        <v>0.64895256898076514</v>
      </c>
      <c r="H135" s="56">
        <f>H11*(('[5]16_17 fleet_v2'!$D383+'[5]16_17 fleet_v2'!$D398)/'Original 2016-17 Data'!$D10)/1000000</f>
        <v>0.6094854216193395</v>
      </c>
      <c r="I135" s="167">
        <f>I11*(('[6]17_18 fleet_v3'!$D385+'[6]17_18 fleet_v3'!$D400)/'Original 2017-18 Data'!$D10)/1000000</f>
        <v>0.56560984895030098</v>
      </c>
      <c r="J135" s="167">
        <f ca="1">$I135*(Taxi_Household_Share*('Taxi-Vehicle Share Supporting D'!J120/'Taxi-Vehicle Share Supporting D'!$I120)+Taxi_Tourist_Share*('Taxi-Vehicle Share Supporting D'!J141/'Taxi-Vehicle Share Supporting D'!$I141)+Taxi_Commercial_Share*('Taxi-Vehicle Share Supporting D'!J204/'Taxi-Vehicle Share Supporting D'!$I204))+'Taxi-Vehicle Share Supporting D'!J99*($I53/('Car+SUV'!$I53+$I53))+'Taxi-Vehicle Share Supporting D'!J183</f>
        <v>0.65072732764015473</v>
      </c>
      <c r="K135" s="167">
        <f ca="1">$I135*(Taxi_Household_Share*('Taxi-Vehicle Share Supporting D'!K120/'Taxi-Vehicle Share Supporting D'!$I120)+Taxi_Tourist_Share*('Taxi-Vehicle Share Supporting D'!K141/'Taxi-Vehicle Share Supporting D'!$I141)+Taxi_Commercial_Share*('Taxi-Vehicle Share Supporting D'!K204/'Taxi-Vehicle Share Supporting D'!$I204))+'Taxi-Vehicle Share Supporting D'!K99*($I53/('Car+SUV'!$I53+$I53))+'Taxi-Vehicle Share Supporting D'!K183</f>
        <v>8.3681559059693615</v>
      </c>
      <c r="L135" s="167">
        <f ca="1">$I135*(Taxi_Household_Share*('Taxi-Vehicle Share Supporting D'!L120/'Taxi-Vehicle Share Supporting D'!$I120)+Taxi_Tourist_Share*('Taxi-Vehicle Share Supporting D'!L141/'Taxi-Vehicle Share Supporting D'!$I141)+Taxi_Commercial_Share*('Taxi-Vehicle Share Supporting D'!L204/'Taxi-Vehicle Share Supporting D'!$I204))+'Taxi-Vehicle Share Supporting D'!L99*($I53/('Car+SUV'!$I53+$I53))+'Taxi-Vehicle Share Supporting D'!L183</f>
        <v>16.255688404945712</v>
      </c>
      <c r="M135" s="167">
        <f ca="1">$I135*(Taxi_Household_Share*('Taxi-Vehicle Share Supporting D'!M120/'Taxi-Vehicle Share Supporting D'!$I120)+Taxi_Tourist_Share*('Taxi-Vehicle Share Supporting D'!M141/'Taxi-Vehicle Share Supporting D'!$I141)+Taxi_Commercial_Share*('Taxi-Vehicle Share Supporting D'!M204/'Taxi-Vehicle Share Supporting D'!$I204))+'Taxi-Vehicle Share Supporting D'!M99*($I53/('Car+SUV'!$I53+$I53))+'Taxi-Vehicle Share Supporting D'!M183</f>
        <v>24.002370775931979</v>
      </c>
      <c r="N135" s="167">
        <f ca="1">$I135*(Taxi_Household_Share*('Taxi-Vehicle Share Supporting D'!N120/'Taxi-Vehicle Share Supporting D'!$I120)+Taxi_Tourist_Share*('Taxi-Vehicle Share Supporting D'!N141/'Taxi-Vehicle Share Supporting D'!$I141)+Taxi_Commercial_Share*('Taxi-Vehicle Share Supporting D'!N204/'Taxi-Vehicle Share Supporting D'!$I204))+'Taxi-Vehicle Share Supporting D'!N99*($I53/('Car+SUV'!$I53+$I53))+'Taxi-Vehicle Share Supporting D'!N183</f>
        <v>31.581467610964136</v>
      </c>
      <c r="O135" s="167">
        <f ca="1">$I135*(Taxi_Household_Share*('Taxi-Vehicle Share Supporting D'!O120/'Taxi-Vehicle Share Supporting D'!$I120)+Taxi_Tourist_Share*('Taxi-Vehicle Share Supporting D'!O141/'Taxi-Vehicle Share Supporting D'!$I141)+Taxi_Commercial_Share*('Taxi-Vehicle Share Supporting D'!O204/'Taxi-Vehicle Share Supporting D'!$I204))+'Taxi-Vehicle Share Supporting D'!O99*($I53/('Car+SUV'!$I53+$I53))+'Taxi-Vehicle Share Supporting D'!O183</f>
        <v>38.976531735716726</v>
      </c>
      <c r="P135" s="167">
        <f ca="1">$I135*(Taxi_Household_Share*('Taxi-Vehicle Share Supporting D'!P120/'Taxi-Vehicle Share Supporting D'!$I120)+Taxi_Tourist_Share*('Taxi-Vehicle Share Supporting D'!P141/'Taxi-Vehicle Share Supporting D'!$I141)+Taxi_Commercial_Share*('Taxi-Vehicle Share Supporting D'!P204/'Taxi-Vehicle Share Supporting D'!$I204))+'Taxi-Vehicle Share Supporting D'!P99*($I53/('Car+SUV'!$I53+$I53))+'Taxi-Vehicle Share Supporting D'!P183</f>
        <v>46.105649720965218</v>
      </c>
      <c r="Q135" s="198">
        <f ca="1">$I135*(Taxi_Household_Share*('Taxi-Vehicle Share Supporting D'!Q120/'Taxi-Vehicle Share Supporting D'!$I120)+Taxi_Tourist_Share*('Taxi-Vehicle Share Supporting D'!Q141/'Taxi-Vehicle Share Supporting D'!$I141)+Taxi_Commercial_Share*('Taxi-Vehicle Share Supporting D'!Q204/'Taxi-Vehicle Share Supporting D'!$I204))+'Taxi-Vehicle Share Supporting D'!Q99*($I53/('Car+SUV'!$I53+$I53))+'Taxi-Vehicle Share Supporting D'!Q183</f>
        <v>52.95992230330026</v>
      </c>
      <c r="R135" s="56"/>
    </row>
    <row r="136" spans="3:18" ht="15.5" x14ac:dyDescent="0.35">
      <c r="C136" s="24" t="s">
        <v>5</v>
      </c>
      <c r="D136" s="55">
        <f>D12*(('[1]12_13 fleet'!$D382+'[1]12_13 fleet'!$D397)/'Original 2012-13 Data'!$D11)/1000000</f>
        <v>2.4511503593819159</v>
      </c>
      <c r="E136" s="56">
        <f>E12*(('[2]13_14 fleet'!$D384+'[2]13_14 fleet'!$D399)/'Original 2013-14 Data'!$D11)/1000000</f>
        <v>2.2718274547835779</v>
      </c>
      <c r="F136" s="56">
        <f>F12*(('[3]14_15 fleet'!$D384+'[3]14_15 fleet'!$D399)/'Original 2014-15 Data'!$D11)/1000000</f>
        <v>2.197500164416577</v>
      </c>
      <c r="G136" s="56">
        <f>G12*(('[4]15_16 fleet'!$D384+'[4]15_16 fleet'!$D399)/'Original 2015-16 Data'!$D11)/1000000</f>
        <v>2.3410573730877977</v>
      </c>
      <c r="H136" s="56">
        <f>H12*(('[5]16_17 fleet_v2'!$D384+'[5]16_17 fleet_v2'!$D399)/'Original 2016-17 Data'!$D11)/1000000</f>
        <v>2.197966981800124</v>
      </c>
      <c r="I136" s="167">
        <f>I12*(('[6]17_18 fleet_v3'!$D386+'[6]17_18 fleet_v3'!$D401)/'Original 2017-18 Data'!$D11)/1000000</f>
        <v>2.6855471374361488</v>
      </c>
      <c r="J136" s="167">
        <f ca="1">$I136*(Taxi_Household_Share*('Taxi-Vehicle Share Supporting D'!J121/'Taxi-Vehicle Share Supporting D'!$I121)+Taxi_Tourist_Share*('Taxi-Vehicle Share Supporting D'!J142/'Taxi-Vehicle Share Supporting D'!$I142)+Taxi_Commercial_Share*('Taxi-Vehicle Share Supporting D'!J205/'Taxi-Vehicle Share Supporting D'!$I205))+'Taxi-Vehicle Share Supporting D'!J100*($I54/('Car+SUV'!$I54+$I54))+'Taxi-Vehicle Share Supporting D'!J184</f>
        <v>3.1382926521119048</v>
      </c>
      <c r="K136" s="167">
        <f ca="1">$I136*(Taxi_Household_Share*('Taxi-Vehicle Share Supporting D'!K121/'Taxi-Vehicle Share Supporting D'!$I121)+Taxi_Tourist_Share*('Taxi-Vehicle Share Supporting D'!K142/'Taxi-Vehicle Share Supporting D'!$I142)+Taxi_Commercial_Share*('Taxi-Vehicle Share Supporting D'!K205/'Taxi-Vehicle Share Supporting D'!$I205))+'Taxi-Vehicle Share Supporting D'!K100*($I54/('Car+SUV'!$I54+$I54))+'Taxi-Vehicle Share Supporting D'!K184</f>
        <v>24.402444658078082</v>
      </c>
      <c r="L136" s="167">
        <f ca="1">$I136*(Taxi_Household_Share*('Taxi-Vehicle Share Supporting D'!L121/'Taxi-Vehicle Share Supporting D'!$I121)+Taxi_Tourist_Share*('Taxi-Vehicle Share Supporting D'!L142/'Taxi-Vehicle Share Supporting D'!$I142)+Taxi_Commercial_Share*('Taxi-Vehicle Share Supporting D'!L205/'Taxi-Vehicle Share Supporting D'!$I205))+'Taxi-Vehicle Share Supporting D'!L100*($I54/('Car+SUV'!$I54+$I54))+'Taxi-Vehicle Share Supporting D'!L184</f>
        <v>46.961732160926424</v>
      </c>
      <c r="M136" s="167">
        <f ca="1">$I136*(Taxi_Household_Share*('Taxi-Vehicle Share Supporting D'!M121/'Taxi-Vehicle Share Supporting D'!$I121)+Taxi_Tourist_Share*('Taxi-Vehicle Share Supporting D'!M142/'Taxi-Vehicle Share Supporting D'!$I142)+Taxi_Commercial_Share*('Taxi-Vehicle Share Supporting D'!M205/'Taxi-Vehicle Share Supporting D'!$I205))+'Taxi-Vehicle Share Supporting D'!M100*($I54/('Car+SUV'!$I54+$I54))+'Taxi-Vehicle Share Supporting D'!M184</f>
        <v>70.104306583242987</v>
      </c>
      <c r="N136" s="167">
        <f ca="1">$I136*(Taxi_Household_Share*('Taxi-Vehicle Share Supporting D'!N121/'Taxi-Vehicle Share Supporting D'!$I121)+Taxi_Tourist_Share*('Taxi-Vehicle Share Supporting D'!N142/'Taxi-Vehicle Share Supporting D'!$I142)+Taxi_Commercial_Share*('Taxi-Vehicle Share Supporting D'!N205/'Taxi-Vehicle Share Supporting D'!$I205))+'Taxi-Vehicle Share Supporting D'!N100*($I54/('Car+SUV'!$I54+$I54))+'Taxi-Vehicle Share Supporting D'!N184</f>
        <v>93.770477872275023</v>
      </c>
      <c r="O136" s="167">
        <f ca="1">$I136*(Taxi_Household_Share*('Taxi-Vehicle Share Supporting D'!O121/'Taxi-Vehicle Share Supporting D'!$I121)+Taxi_Tourist_Share*('Taxi-Vehicle Share Supporting D'!O142/'Taxi-Vehicle Share Supporting D'!$I142)+Taxi_Commercial_Share*('Taxi-Vehicle Share Supporting D'!O205/'Taxi-Vehicle Share Supporting D'!$I205))+'Taxi-Vehicle Share Supporting D'!O100*($I54/('Car+SUV'!$I54+$I54))+'Taxi-Vehicle Share Supporting D'!O184</f>
        <v>117.89019387853409</v>
      </c>
      <c r="P136" s="167">
        <f ca="1">$I136*(Taxi_Household_Share*('Taxi-Vehicle Share Supporting D'!P121/'Taxi-Vehicle Share Supporting D'!$I121)+Taxi_Tourist_Share*('Taxi-Vehicle Share Supporting D'!P142/'Taxi-Vehicle Share Supporting D'!$I142)+Taxi_Commercial_Share*('Taxi-Vehicle Share Supporting D'!P205/'Taxi-Vehicle Share Supporting D'!$I205))+'Taxi-Vehicle Share Supporting D'!P100*($I54/('Car+SUV'!$I54+$I54))+'Taxi-Vehicle Share Supporting D'!P184</f>
        <v>142.30790265317762</v>
      </c>
      <c r="Q136" s="198">
        <f ca="1">$I136*(Taxi_Household_Share*('Taxi-Vehicle Share Supporting D'!Q121/'Taxi-Vehicle Share Supporting D'!$I121)+Taxi_Tourist_Share*('Taxi-Vehicle Share Supporting D'!Q142/'Taxi-Vehicle Share Supporting D'!$I142)+Taxi_Commercial_Share*('Taxi-Vehicle Share Supporting D'!Q205/'Taxi-Vehicle Share Supporting D'!$I205))+'Taxi-Vehicle Share Supporting D'!Q100*($I54/('Car+SUV'!$I54+$I54))+'Taxi-Vehicle Share Supporting D'!Q184</f>
        <v>167.02055561272144</v>
      </c>
      <c r="R136" s="56"/>
    </row>
    <row r="137" spans="3:18" ht="15.5" x14ac:dyDescent="0.35">
      <c r="C137" s="24" t="s">
        <v>6</v>
      </c>
      <c r="D137" s="55">
        <f>D13*(('[1]12_13 fleet'!$D383+'[1]12_13 fleet'!$D398)/'Original 2012-13 Data'!$D12)/1000000</f>
        <v>0.68053476523643142</v>
      </c>
      <c r="E137" s="56">
        <f>E13*(('[2]13_14 fleet'!$D385+'[2]13_14 fleet'!$D400)/'Original 2013-14 Data'!$D12)/1000000</f>
        <v>0.80386093039357254</v>
      </c>
      <c r="F137" s="56">
        <f>F13*(('[3]14_15 fleet'!$D385+'[3]14_15 fleet'!$D400)/'Original 2014-15 Data'!$D12)/1000000</f>
        <v>0.84075801682457829</v>
      </c>
      <c r="G137" s="56">
        <f>G13*(('[4]15_16 fleet'!$D385+'[4]15_16 fleet'!$D400)/'Original 2015-16 Data'!$D12)/1000000</f>
        <v>0.8546097466833229</v>
      </c>
      <c r="H137" s="56">
        <f>H13*(('[5]16_17 fleet_v2'!$D385+'[5]16_17 fleet_v2'!$D400)/'Original 2016-17 Data'!$D12)/1000000</f>
        <v>0.95416697611616907</v>
      </c>
      <c r="I137" s="167">
        <f>I13*(('[6]17_18 fleet_v3'!$D387+'[6]17_18 fleet_v3'!$D402)/'Original 2017-18 Data'!$D12)/1000000</f>
        <v>1.0552287248493584</v>
      </c>
      <c r="J137" s="167">
        <f ca="1">$I137*(Taxi_Household_Share*('Taxi-Vehicle Share Supporting D'!J122/'Taxi-Vehicle Share Supporting D'!$I122)+Taxi_Tourist_Share*('Taxi-Vehicle Share Supporting D'!J143/'Taxi-Vehicle Share Supporting D'!$I143)+Taxi_Commercial_Share*('Taxi-Vehicle Share Supporting D'!J206/'Taxi-Vehicle Share Supporting D'!$I206))+'Taxi-Vehicle Share Supporting D'!J101*($I55/('Car+SUV'!$I55+$I55))+'Taxi-Vehicle Share Supporting D'!J185</f>
        <v>1.2408493504217704</v>
      </c>
      <c r="K137" s="167">
        <f ca="1">$I137*(Taxi_Household_Share*('Taxi-Vehicle Share Supporting D'!K122/'Taxi-Vehicle Share Supporting D'!$I122)+Taxi_Tourist_Share*('Taxi-Vehicle Share Supporting D'!K143/'Taxi-Vehicle Share Supporting D'!$I143)+Taxi_Commercial_Share*('Taxi-Vehicle Share Supporting D'!K206/'Taxi-Vehicle Share Supporting D'!$I206))+'Taxi-Vehicle Share Supporting D'!K101*($I55/('Car+SUV'!$I55+$I55))+'Taxi-Vehicle Share Supporting D'!K185</f>
        <v>16.499583864194296</v>
      </c>
      <c r="L137" s="167">
        <f ca="1">$I137*(Taxi_Household_Share*('Taxi-Vehicle Share Supporting D'!L122/'Taxi-Vehicle Share Supporting D'!$I122)+Taxi_Tourist_Share*('Taxi-Vehicle Share Supporting D'!L143/'Taxi-Vehicle Share Supporting D'!$I143)+Taxi_Commercial_Share*('Taxi-Vehicle Share Supporting D'!L206/'Taxi-Vehicle Share Supporting D'!$I206))+'Taxi-Vehicle Share Supporting D'!L101*($I55/('Car+SUV'!$I55+$I55))+'Taxi-Vehicle Share Supporting D'!L185</f>
        <v>32.968027670024391</v>
      </c>
      <c r="M137" s="167">
        <f ca="1">$I137*(Taxi_Household_Share*('Taxi-Vehicle Share Supporting D'!M122/'Taxi-Vehicle Share Supporting D'!$I122)+Taxi_Tourist_Share*('Taxi-Vehicle Share Supporting D'!M143/'Taxi-Vehicle Share Supporting D'!$I143)+Taxi_Commercial_Share*('Taxi-Vehicle Share Supporting D'!M206/'Taxi-Vehicle Share Supporting D'!$I206))+'Taxi-Vehicle Share Supporting D'!M101*($I55/('Car+SUV'!$I55+$I55))+'Taxi-Vehicle Share Supporting D'!M185</f>
        <v>50.162651368859507</v>
      </c>
      <c r="N137" s="167">
        <f ca="1">$I137*(Taxi_Household_Share*('Taxi-Vehicle Share Supporting D'!N122/'Taxi-Vehicle Share Supporting D'!$I122)+Taxi_Tourist_Share*('Taxi-Vehicle Share Supporting D'!N143/'Taxi-Vehicle Share Supporting D'!$I143)+Taxi_Commercial_Share*('Taxi-Vehicle Share Supporting D'!N206/'Taxi-Vehicle Share Supporting D'!$I206))+'Taxi-Vehicle Share Supporting D'!N101*($I55/('Car+SUV'!$I55+$I55))+'Taxi-Vehicle Share Supporting D'!N185</f>
        <v>68.028907640995072</v>
      </c>
      <c r="O137" s="167">
        <f ca="1">$I137*(Taxi_Household_Share*('Taxi-Vehicle Share Supporting D'!O122/'Taxi-Vehicle Share Supporting D'!$I122)+Taxi_Tourist_Share*('Taxi-Vehicle Share Supporting D'!O143/'Taxi-Vehicle Share Supporting D'!$I143)+Taxi_Commercial_Share*('Taxi-Vehicle Share Supporting D'!O206/'Taxi-Vehicle Share Supporting D'!$I206))+'Taxi-Vehicle Share Supporting D'!O101*($I55/('Car+SUV'!$I55+$I55))+'Taxi-Vehicle Share Supporting D'!O185</f>
        <v>86.516456407308723</v>
      </c>
      <c r="P137" s="167">
        <f ca="1">$I137*(Taxi_Household_Share*('Taxi-Vehicle Share Supporting D'!P122/'Taxi-Vehicle Share Supporting D'!$I122)+Taxi_Tourist_Share*('Taxi-Vehicle Share Supporting D'!P143/'Taxi-Vehicle Share Supporting D'!$I143)+Taxi_Commercial_Share*('Taxi-Vehicle Share Supporting D'!P206/'Taxi-Vehicle Share Supporting D'!$I206))+'Taxi-Vehicle Share Supporting D'!P101*($I55/('Car+SUV'!$I55+$I55))+'Taxi-Vehicle Share Supporting D'!P185</f>
        <v>105.49826659165078</v>
      </c>
      <c r="Q137" s="198">
        <f ca="1">$I137*(Taxi_Household_Share*('Taxi-Vehicle Share Supporting D'!Q122/'Taxi-Vehicle Share Supporting D'!$I122)+Taxi_Tourist_Share*('Taxi-Vehicle Share Supporting D'!Q143/'Taxi-Vehicle Share Supporting D'!$I143)+Taxi_Commercial_Share*('Taxi-Vehicle Share Supporting D'!Q206/'Taxi-Vehicle Share Supporting D'!$I206))+'Taxi-Vehicle Share Supporting D'!Q101*($I55/('Car+SUV'!$I55+$I55))+'Taxi-Vehicle Share Supporting D'!Q185</f>
        <v>124.96699672218536</v>
      </c>
      <c r="R137" s="56"/>
    </row>
    <row r="138" spans="3:18" ht="15.5" x14ac:dyDescent="0.35">
      <c r="C138" s="24" t="s">
        <v>7</v>
      </c>
      <c r="D138" s="55">
        <f>D14*(('[1]12_13 fleet'!$D384+'[1]12_13 fleet'!$D399)/'Original 2012-13 Data'!$D13)/1000000</f>
        <v>2.7309031965776076</v>
      </c>
      <c r="E138" s="56">
        <f>E14*(('[2]13_14 fleet'!$D386+'[2]13_14 fleet'!$D401)/'Original 2013-14 Data'!$D13)/1000000</f>
        <v>2.9807477499217496</v>
      </c>
      <c r="F138" s="56">
        <f>F14*(('[3]14_15 fleet'!$D386+'[3]14_15 fleet'!$D401)/'Original 2014-15 Data'!$D13)/1000000</f>
        <v>2.7141562219919431</v>
      </c>
      <c r="G138" s="56">
        <f>G14*(('[4]15_16 fleet'!$D386+'[4]15_16 fleet'!$D401)/'Original 2015-16 Data'!$D13)/1000000</f>
        <v>2.7545407050458715</v>
      </c>
      <c r="H138" s="56">
        <f>H14*(('[5]16_17 fleet_v2'!$D386+'[5]16_17 fleet_v2'!$D401)/'Original 2016-17 Data'!$D13)/1000000</f>
        <v>3.612925313599197</v>
      </c>
      <c r="I138" s="167">
        <f>I14*(('[6]17_18 fleet_v3'!$D388+'[6]17_18 fleet_v3'!$D403)/'Original 2017-18 Data'!$D13)/1000000</f>
        <v>3.2764336870372355</v>
      </c>
      <c r="J138" s="167">
        <f ca="1">$I138*(Taxi_Household_Share*('Taxi-Vehicle Share Supporting D'!J123/'Taxi-Vehicle Share Supporting D'!$I123)+Taxi_Tourist_Share*('Taxi-Vehicle Share Supporting D'!J144/'Taxi-Vehicle Share Supporting D'!$I144)+Taxi_Commercial_Share*('Taxi-Vehicle Share Supporting D'!J207/'Taxi-Vehicle Share Supporting D'!$I207))+'Taxi-Vehicle Share Supporting D'!J102*($I56/('Car+SUV'!$I56+$I56))+'Taxi-Vehicle Share Supporting D'!J186</f>
        <v>3.7947184039436976</v>
      </c>
      <c r="K138" s="167">
        <f ca="1">$I138*(Taxi_Household_Share*('Taxi-Vehicle Share Supporting D'!K123/'Taxi-Vehicle Share Supporting D'!$I123)+Taxi_Tourist_Share*('Taxi-Vehicle Share Supporting D'!K144/'Taxi-Vehicle Share Supporting D'!$I144)+Taxi_Commercial_Share*('Taxi-Vehicle Share Supporting D'!K207/'Taxi-Vehicle Share Supporting D'!$I207))+'Taxi-Vehicle Share Supporting D'!K102*($I56/('Car+SUV'!$I56+$I56))+'Taxi-Vehicle Share Supporting D'!K186</f>
        <v>38.423080921121972</v>
      </c>
      <c r="L138" s="167">
        <f ca="1">$I138*(Taxi_Household_Share*('Taxi-Vehicle Share Supporting D'!L123/'Taxi-Vehicle Share Supporting D'!$I123)+Taxi_Tourist_Share*('Taxi-Vehicle Share Supporting D'!L144/'Taxi-Vehicle Share Supporting D'!$I144)+Taxi_Commercial_Share*('Taxi-Vehicle Share Supporting D'!L207/'Taxi-Vehicle Share Supporting D'!$I207))+'Taxi-Vehicle Share Supporting D'!L102*($I56/('Car+SUV'!$I56+$I56))+'Taxi-Vehicle Share Supporting D'!L186</f>
        <v>74.47177339082404</v>
      </c>
      <c r="M138" s="167">
        <f ca="1">$I138*(Taxi_Household_Share*('Taxi-Vehicle Share Supporting D'!M123/'Taxi-Vehicle Share Supporting D'!$I123)+Taxi_Tourist_Share*('Taxi-Vehicle Share Supporting D'!M144/'Taxi-Vehicle Share Supporting D'!$I144)+Taxi_Commercial_Share*('Taxi-Vehicle Share Supporting D'!M207/'Taxi-Vehicle Share Supporting D'!$I207))+'Taxi-Vehicle Share Supporting D'!M102*($I56/('Car+SUV'!$I56+$I56))+'Taxi-Vehicle Share Supporting D'!M186</f>
        <v>110.7328518052357</v>
      </c>
      <c r="N138" s="167">
        <f ca="1">$I138*(Taxi_Household_Share*('Taxi-Vehicle Share Supporting D'!N123/'Taxi-Vehicle Share Supporting D'!$I123)+Taxi_Tourist_Share*('Taxi-Vehicle Share Supporting D'!N144/'Taxi-Vehicle Share Supporting D'!$I144)+Taxi_Commercial_Share*('Taxi-Vehicle Share Supporting D'!N207/'Taxi-Vehicle Share Supporting D'!$I207))+'Taxi-Vehicle Share Supporting D'!N102*($I56/('Car+SUV'!$I56+$I56))+'Taxi-Vehicle Share Supporting D'!N186</f>
        <v>146.90581455358264</v>
      </c>
      <c r="O138" s="167">
        <f ca="1">$I138*(Taxi_Household_Share*('Taxi-Vehicle Share Supporting D'!O123/'Taxi-Vehicle Share Supporting D'!$I123)+Taxi_Tourist_Share*('Taxi-Vehicle Share Supporting D'!O144/'Taxi-Vehicle Share Supporting D'!$I144)+Taxi_Commercial_Share*('Taxi-Vehicle Share Supporting D'!O207/'Taxi-Vehicle Share Supporting D'!$I207))+'Taxi-Vehicle Share Supporting D'!O102*($I56/('Car+SUV'!$I56+$I56))+'Taxi-Vehicle Share Supporting D'!O186</f>
        <v>182.98920528117529</v>
      </c>
      <c r="P138" s="167">
        <f ca="1">$I138*(Taxi_Household_Share*('Taxi-Vehicle Share Supporting D'!P123/'Taxi-Vehicle Share Supporting D'!$I123)+Taxi_Tourist_Share*('Taxi-Vehicle Share Supporting D'!P144/'Taxi-Vehicle Share Supporting D'!$I144)+Taxi_Commercial_Share*('Taxi-Vehicle Share Supporting D'!P207/'Taxi-Vehicle Share Supporting D'!$I207))+'Taxi-Vehicle Share Supporting D'!P102*($I56/('Car+SUV'!$I56+$I56))+'Taxi-Vehicle Share Supporting D'!P186</f>
        <v>218.68861442612661</v>
      </c>
      <c r="Q138" s="198">
        <f ca="1">$I138*(Taxi_Household_Share*('Taxi-Vehicle Share Supporting D'!Q123/'Taxi-Vehicle Share Supporting D'!$I123)+Taxi_Tourist_Share*('Taxi-Vehicle Share Supporting D'!Q144/'Taxi-Vehicle Share Supporting D'!$I144)+Taxi_Commercial_Share*('Taxi-Vehicle Share Supporting D'!Q207/'Taxi-Vehicle Share Supporting D'!$I207))+'Taxi-Vehicle Share Supporting D'!Q102*($I56/('Car+SUV'!$I56+$I56))+'Taxi-Vehicle Share Supporting D'!Q186</f>
        <v>253.99624172438484</v>
      </c>
      <c r="R138" s="56"/>
    </row>
    <row r="139" spans="3:18" ht="15.5" x14ac:dyDescent="0.35">
      <c r="C139" s="24" t="s">
        <v>8</v>
      </c>
      <c r="D139" s="55">
        <f>D15*(('[1]12_13 fleet'!$D385+'[1]12_13 fleet'!$D400)/'Original 2012-13 Data'!$D14)/1000000</f>
        <v>5.4098485066248028</v>
      </c>
      <c r="E139" s="56">
        <f>E15*(('[2]13_14 fleet'!$D387+'[2]13_14 fleet'!$D402)/'Original 2013-14 Data'!$D14)/1000000</f>
        <v>5.4074270602940286</v>
      </c>
      <c r="F139" s="56">
        <f>F15*(('[3]14_15 fleet'!$D387+'[3]14_15 fleet'!$D402)/'Original 2014-15 Data'!$D14)/1000000</f>
        <v>5.6698621525705484</v>
      </c>
      <c r="G139" s="56">
        <f>G15*(('[4]15_16 fleet'!$D387+'[4]15_16 fleet'!$D402)/'Original 2015-16 Data'!$D14)/1000000</f>
        <v>4.6810265844742505</v>
      </c>
      <c r="H139" s="56">
        <f>H15*(('[5]16_17 fleet_v2'!$D387+'[5]16_17 fleet_v2'!$D402)/'Original 2016-17 Data'!$D14)/1000000</f>
        <v>5.3128824433484922</v>
      </c>
      <c r="I139" s="167">
        <f>I15*(('[6]17_18 fleet_v3'!$D389+'[6]17_18 fleet_v3'!$D404)/'Original 2017-18 Data'!$D14)/1000000</f>
        <v>5.9122053524873657</v>
      </c>
      <c r="J139" s="167">
        <f ca="1">$I139*(Taxi_Household_Share*('Taxi-Vehicle Share Supporting D'!J124/'Taxi-Vehicle Share Supporting D'!$I124)+Taxi_Tourist_Share*('Taxi-Vehicle Share Supporting D'!J145/'Taxi-Vehicle Share Supporting D'!$I145)+Taxi_Commercial_Share*('Taxi-Vehicle Share Supporting D'!J208/'Taxi-Vehicle Share Supporting D'!$I208))+'Taxi-Vehicle Share Supporting D'!J103*($I57/('Car+SUV'!$I57+$I57))+'Taxi-Vehicle Share Supporting D'!J187</f>
        <v>6.9712241578688721</v>
      </c>
      <c r="K139" s="167">
        <f ca="1">$I139*(Taxi_Household_Share*('Taxi-Vehicle Share Supporting D'!K124/'Taxi-Vehicle Share Supporting D'!$I124)+Taxi_Tourist_Share*('Taxi-Vehicle Share Supporting D'!K145/'Taxi-Vehicle Share Supporting D'!$I145)+Taxi_Commercial_Share*('Taxi-Vehicle Share Supporting D'!K208/'Taxi-Vehicle Share Supporting D'!$I208))+'Taxi-Vehicle Share Supporting D'!K103*($I57/('Car+SUV'!$I57+$I57))+'Taxi-Vehicle Share Supporting D'!K187</f>
        <v>37.125570013685142</v>
      </c>
      <c r="L139" s="167">
        <f ca="1">$I139*(Taxi_Household_Share*('Taxi-Vehicle Share Supporting D'!L124/'Taxi-Vehicle Share Supporting D'!$I124)+Taxi_Tourist_Share*('Taxi-Vehicle Share Supporting D'!L145/'Taxi-Vehicle Share Supporting D'!$I145)+Taxi_Commercial_Share*('Taxi-Vehicle Share Supporting D'!L208/'Taxi-Vehicle Share Supporting D'!$I208))+'Taxi-Vehicle Share Supporting D'!L103*($I57/('Car+SUV'!$I57+$I57))+'Taxi-Vehicle Share Supporting D'!L187</f>
        <v>69.656501971894954</v>
      </c>
      <c r="M139" s="167">
        <f ca="1">$I139*(Taxi_Household_Share*('Taxi-Vehicle Share Supporting D'!M124/'Taxi-Vehicle Share Supporting D'!$I124)+Taxi_Tourist_Share*('Taxi-Vehicle Share Supporting D'!M145/'Taxi-Vehicle Share Supporting D'!$I145)+Taxi_Commercial_Share*('Taxi-Vehicle Share Supporting D'!M208/'Taxi-Vehicle Share Supporting D'!$I208))+'Taxi-Vehicle Share Supporting D'!M103*($I57/('Car+SUV'!$I57+$I57))+'Taxi-Vehicle Share Supporting D'!M187</f>
        <v>103.59318307018788</v>
      </c>
      <c r="N139" s="167">
        <f ca="1">$I139*(Taxi_Household_Share*('Taxi-Vehicle Share Supporting D'!N124/'Taxi-Vehicle Share Supporting D'!$I124)+Taxi_Tourist_Share*('Taxi-Vehicle Share Supporting D'!N145/'Taxi-Vehicle Share Supporting D'!$I145)+Taxi_Commercial_Share*('Taxi-Vehicle Share Supporting D'!N208/'Taxi-Vehicle Share Supporting D'!$I208))+'Taxi-Vehicle Share Supporting D'!N103*($I57/('Car+SUV'!$I57+$I57))+'Taxi-Vehicle Share Supporting D'!N187</f>
        <v>138.76877412141744</v>
      </c>
      <c r="O139" s="167">
        <f ca="1">$I139*(Taxi_Household_Share*('Taxi-Vehicle Share Supporting D'!O124/'Taxi-Vehicle Share Supporting D'!$I124)+Taxi_Tourist_Share*('Taxi-Vehicle Share Supporting D'!O145/'Taxi-Vehicle Share Supporting D'!$I145)+Taxi_Commercial_Share*('Taxi-Vehicle Share Supporting D'!O208/'Taxi-Vehicle Share Supporting D'!$I208))+'Taxi-Vehicle Share Supporting D'!O103*($I57/('Car+SUV'!$I57+$I57))+'Taxi-Vehicle Share Supporting D'!O187</f>
        <v>175.12418862927012</v>
      </c>
      <c r="P139" s="167">
        <f ca="1">$I139*(Taxi_Household_Share*('Taxi-Vehicle Share Supporting D'!P124/'Taxi-Vehicle Share Supporting D'!$I124)+Taxi_Tourist_Share*('Taxi-Vehicle Share Supporting D'!P145/'Taxi-Vehicle Share Supporting D'!$I145)+Taxi_Commercial_Share*('Taxi-Vehicle Share Supporting D'!P208/'Taxi-Vehicle Share Supporting D'!$I208))+'Taxi-Vehicle Share Supporting D'!P103*($I57/('Car+SUV'!$I57+$I57))+'Taxi-Vehicle Share Supporting D'!P187</f>
        <v>212.40017146013309</v>
      </c>
      <c r="Q139" s="198">
        <f ca="1">$I139*(Taxi_Household_Share*('Taxi-Vehicle Share Supporting D'!Q124/'Taxi-Vehicle Share Supporting D'!$I124)+Taxi_Tourist_Share*('Taxi-Vehicle Share Supporting D'!Q145/'Taxi-Vehicle Share Supporting D'!$I145)+Taxi_Commercial_Share*('Taxi-Vehicle Share Supporting D'!Q208/'Taxi-Vehicle Share Supporting D'!$I208))+'Taxi-Vehicle Share Supporting D'!Q103*($I57/('Car+SUV'!$I57+$I57))+'Taxi-Vehicle Share Supporting D'!Q187</f>
        <v>250.55889694281279</v>
      </c>
      <c r="R139" s="56"/>
    </row>
    <row r="140" spans="3:18" ht="15.5" x14ac:dyDescent="0.35">
      <c r="C140" s="24" t="s">
        <v>9</v>
      </c>
      <c r="D140" s="55">
        <f>D16*(('[1]12_13 fleet'!$D386+'[1]12_13 fleet'!$D401)/'Original 2012-13 Data'!$D15)/1000000</f>
        <v>2.2648937460723992</v>
      </c>
      <c r="E140" s="56">
        <f>E16*(('[2]13_14 fleet'!$D388+'[2]13_14 fleet'!$D403)/'Original 2013-14 Data'!$D15)/1000000</f>
        <v>2.3638065775581509</v>
      </c>
      <c r="F140" s="56">
        <f>F16*(('[3]14_15 fleet'!$D388+'[3]14_15 fleet'!$D403)/'Original 2014-15 Data'!$D15)/1000000</f>
        <v>2.2470574761273259</v>
      </c>
      <c r="G140" s="56">
        <f>G16*(('[4]15_16 fleet'!$D388+'[4]15_16 fleet'!$D403)/'Original 2015-16 Data'!$D15)/1000000</f>
        <v>2.6859995346010592</v>
      </c>
      <c r="H140" s="56">
        <f>H16*(('[5]16_17 fleet_v2'!$D388+'[5]16_17 fleet_v2'!$D403)/'Original 2016-17 Data'!$D15)/1000000</f>
        <v>2.7721070575112203</v>
      </c>
      <c r="I140" s="167">
        <f>I16*(('[6]17_18 fleet_v3'!$D390+'[6]17_18 fleet_v3'!$D405)/'Original 2017-18 Data'!$D15)/1000000</f>
        <v>2.7913622971184244</v>
      </c>
      <c r="J140" s="167">
        <f ca="1">$I140*(Taxi_Household_Share*('Taxi-Vehicle Share Supporting D'!J125/'Taxi-Vehicle Share Supporting D'!$I125)+Taxi_Tourist_Share*('Taxi-Vehicle Share Supporting D'!J146/'Taxi-Vehicle Share Supporting D'!$I146)+Taxi_Commercial_Share*('Taxi-Vehicle Share Supporting D'!J209/'Taxi-Vehicle Share Supporting D'!$I209))+'Taxi-Vehicle Share Supporting D'!J104*($I58/('Car+SUV'!$I58+$I58))+'Taxi-Vehicle Share Supporting D'!J188</f>
        <v>3.2309267163018602</v>
      </c>
      <c r="K140" s="167">
        <f ca="1">$I140*(Taxi_Household_Share*('Taxi-Vehicle Share Supporting D'!K125/'Taxi-Vehicle Share Supporting D'!$I125)+Taxi_Tourist_Share*('Taxi-Vehicle Share Supporting D'!K146/'Taxi-Vehicle Share Supporting D'!$I146)+Taxi_Commercial_Share*('Taxi-Vehicle Share Supporting D'!K209/'Taxi-Vehicle Share Supporting D'!$I209))+'Taxi-Vehicle Share Supporting D'!K104*($I58/('Car+SUV'!$I58+$I58))+'Taxi-Vehicle Share Supporting D'!K188</f>
        <v>23.201863322580444</v>
      </c>
      <c r="L140" s="167">
        <f ca="1">$I140*(Taxi_Household_Share*('Taxi-Vehicle Share Supporting D'!L125/'Taxi-Vehicle Share Supporting D'!$I125)+Taxi_Tourist_Share*('Taxi-Vehicle Share Supporting D'!L146/'Taxi-Vehicle Share Supporting D'!$I146)+Taxi_Commercial_Share*('Taxi-Vehicle Share Supporting D'!L209/'Taxi-Vehicle Share Supporting D'!$I209))+'Taxi-Vehicle Share Supporting D'!L104*($I58/('Car+SUV'!$I58+$I58))+'Taxi-Vehicle Share Supporting D'!L188</f>
        <v>43.97638140519085</v>
      </c>
      <c r="M140" s="167">
        <f ca="1">$I140*(Taxi_Household_Share*('Taxi-Vehicle Share Supporting D'!M125/'Taxi-Vehicle Share Supporting D'!$I125)+Taxi_Tourist_Share*('Taxi-Vehicle Share Supporting D'!M146/'Taxi-Vehicle Share Supporting D'!$I146)+Taxi_Commercial_Share*('Taxi-Vehicle Share Supporting D'!M209/'Taxi-Vehicle Share Supporting D'!$I209))+'Taxi-Vehicle Share Supporting D'!M104*($I58/('Car+SUV'!$I58+$I58))+'Taxi-Vehicle Share Supporting D'!M188</f>
        <v>64.828427101987316</v>
      </c>
      <c r="N140" s="167">
        <f ca="1">$I140*(Taxi_Household_Share*('Taxi-Vehicle Share Supporting D'!N125/'Taxi-Vehicle Share Supporting D'!$I125)+Taxi_Tourist_Share*('Taxi-Vehicle Share Supporting D'!N146/'Taxi-Vehicle Share Supporting D'!$I146)+Taxi_Commercial_Share*('Taxi-Vehicle Share Supporting D'!N209/'Taxi-Vehicle Share Supporting D'!$I209))+'Taxi-Vehicle Share Supporting D'!N104*($I58/('Car+SUV'!$I58+$I58))+'Taxi-Vehicle Share Supporting D'!N188</f>
        <v>85.493585417854149</v>
      </c>
      <c r="O140" s="167">
        <f ca="1">$I140*(Taxi_Household_Share*('Taxi-Vehicle Share Supporting D'!O125/'Taxi-Vehicle Share Supporting D'!$I125)+Taxi_Tourist_Share*('Taxi-Vehicle Share Supporting D'!O146/'Taxi-Vehicle Share Supporting D'!$I146)+Taxi_Commercial_Share*('Taxi-Vehicle Share Supporting D'!O209/'Taxi-Vehicle Share Supporting D'!$I209))+'Taxi-Vehicle Share Supporting D'!O104*($I58/('Car+SUV'!$I58+$I58))+'Taxi-Vehicle Share Supporting D'!O188</f>
        <v>105.96350135560475</v>
      </c>
      <c r="P140" s="167">
        <f ca="1">$I140*(Taxi_Household_Share*('Taxi-Vehicle Share Supporting D'!P125/'Taxi-Vehicle Share Supporting D'!$I125)+Taxi_Tourist_Share*('Taxi-Vehicle Share Supporting D'!P146/'Taxi-Vehicle Share Supporting D'!$I146)+Taxi_Commercial_Share*('Taxi-Vehicle Share Supporting D'!P209/'Taxi-Vehicle Share Supporting D'!$I209))+'Taxi-Vehicle Share Supporting D'!P104*($I58/('Car+SUV'!$I58+$I58))+'Taxi-Vehicle Share Supporting D'!P188</f>
        <v>126.06052080086481</v>
      </c>
      <c r="Q140" s="198">
        <f ca="1">$I140*(Taxi_Household_Share*('Taxi-Vehicle Share Supporting D'!Q125/'Taxi-Vehicle Share Supporting D'!$I125)+Taxi_Tourist_Share*('Taxi-Vehicle Share Supporting D'!Q146/'Taxi-Vehicle Share Supporting D'!$I146)+Taxi_Commercial_Share*('Taxi-Vehicle Share Supporting D'!Q209/'Taxi-Vehicle Share Supporting D'!$I209))+'Taxi-Vehicle Share Supporting D'!Q104*($I58/('Car+SUV'!$I58+$I58))+'Taxi-Vehicle Share Supporting D'!Q188</f>
        <v>145.75251472683968</v>
      </c>
      <c r="R140" s="56"/>
    </row>
    <row r="141" spans="3:18" ht="15.5" x14ac:dyDescent="0.35">
      <c r="C141" s="24" t="s">
        <v>10</v>
      </c>
      <c r="D141" s="55">
        <f>D17*(('[1]12_13 fleet'!$D387+'[1]12_13 fleet'!$D402)/'Original 2012-13 Data'!$D16)/1000000</f>
        <v>1.2682562076734483</v>
      </c>
      <c r="E141" s="56">
        <f>E17*(('[2]13_14 fleet'!$D389+'[2]13_14 fleet'!$D404)/'Original 2013-14 Data'!$D16)/1000000</f>
        <v>1.4448745499123756</v>
      </c>
      <c r="F141" s="56">
        <f>F17*(('[3]14_15 fleet'!$D389+'[3]14_15 fleet'!$D404)/'Original 2014-15 Data'!$D16)/1000000</f>
        <v>1.5652889724821897</v>
      </c>
      <c r="G141" s="56">
        <f>G17*(('[4]15_16 fleet'!$D389+'[4]15_16 fleet'!$D404)/'Original 2015-16 Data'!$D16)/1000000</f>
        <v>1.7035079649915017</v>
      </c>
      <c r="H141" s="56">
        <f>H17*(('[5]16_17 fleet_v2'!$D389+'[5]16_17 fleet_v2'!$D404)/'Original 2016-17 Data'!$D16)/1000000</f>
        <v>1.6452509945192739</v>
      </c>
      <c r="I141" s="167">
        <f>I17*(('[6]17_18 fleet_v3'!$D391+'[6]17_18 fleet_v3'!$D406)/'Original 2017-18 Data'!$D16)/1000000</f>
        <v>1.9610011319145522</v>
      </c>
      <c r="J141" s="167">
        <f ca="1">$I141*(Taxi_Household_Share*('Taxi-Vehicle Share Supporting D'!J126/'Taxi-Vehicle Share Supporting D'!$I126)+Taxi_Tourist_Share*('Taxi-Vehicle Share Supporting D'!J147/'Taxi-Vehicle Share Supporting D'!$I147)+Taxi_Commercial_Share*('Taxi-Vehicle Share Supporting D'!J210/'Taxi-Vehicle Share Supporting D'!$I210))+'Taxi-Vehicle Share Supporting D'!J105*($I59/('Car+SUV'!$I59+$I59))+'Taxi-Vehicle Share Supporting D'!J189</f>
        <v>2.2284251111238969</v>
      </c>
      <c r="K141" s="167">
        <f ca="1">$I141*(Taxi_Household_Share*('Taxi-Vehicle Share Supporting D'!K126/'Taxi-Vehicle Share Supporting D'!$I126)+Taxi_Tourist_Share*('Taxi-Vehicle Share Supporting D'!K147/'Taxi-Vehicle Share Supporting D'!$I147)+Taxi_Commercial_Share*('Taxi-Vehicle Share Supporting D'!K210/'Taxi-Vehicle Share Supporting D'!$I210))+'Taxi-Vehicle Share Supporting D'!K105*($I59/('Car+SUV'!$I59+$I59))+'Taxi-Vehicle Share Supporting D'!K189</f>
        <v>10.799176559742081</v>
      </c>
      <c r="L141" s="167">
        <f ca="1">$I141*(Taxi_Household_Share*('Taxi-Vehicle Share Supporting D'!L126/'Taxi-Vehicle Share Supporting D'!$I126)+Taxi_Tourist_Share*('Taxi-Vehicle Share Supporting D'!L147/'Taxi-Vehicle Share Supporting D'!$I147)+Taxi_Commercial_Share*('Taxi-Vehicle Share Supporting D'!L210/'Taxi-Vehicle Share Supporting D'!$I210))+'Taxi-Vehicle Share Supporting D'!L105*($I59/('Car+SUV'!$I59+$I59))+'Taxi-Vehicle Share Supporting D'!L189</f>
        <v>19.243196989036335</v>
      </c>
      <c r="M141" s="167">
        <f ca="1">$I141*(Taxi_Household_Share*('Taxi-Vehicle Share Supporting D'!M126/'Taxi-Vehicle Share Supporting D'!$I126)+Taxi_Tourist_Share*('Taxi-Vehicle Share Supporting D'!M147/'Taxi-Vehicle Share Supporting D'!$I147)+Taxi_Commercial_Share*('Taxi-Vehicle Share Supporting D'!M210/'Taxi-Vehicle Share Supporting D'!$I210))+'Taxi-Vehicle Share Supporting D'!M105*($I59/('Car+SUV'!$I59+$I59))+'Taxi-Vehicle Share Supporting D'!M189</f>
        <v>27.277949127970896</v>
      </c>
      <c r="N141" s="167">
        <f ca="1">$I141*(Taxi_Household_Share*('Taxi-Vehicle Share Supporting D'!N126/'Taxi-Vehicle Share Supporting D'!$I126)+Taxi_Tourist_Share*('Taxi-Vehicle Share Supporting D'!N147/'Taxi-Vehicle Share Supporting D'!$I147)+Taxi_Commercial_Share*('Taxi-Vehicle Share Supporting D'!N210/'Taxi-Vehicle Share Supporting D'!$I210))+'Taxi-Vehicle Share Supporting D'!N105*($I59/('Car+SUV'!$I59+$I59))+'Taxi-Vehicle Share Supporting D'!N189</f>
        <v>34.908347886375395</v>
      </c>
      <c r="O141" s="167">
        <f ca="1">$I141*(Taxi_Household_Share*('Taxi-Vehicle Share Supporting D'!O126/'Taxi-Vehicle Share Supporting D'!$I126)+Taxi_Tourist_Share*('Taxi-Vehicle Share Supporting D'!O147/'Taxi-Vehicle Share Supporting D'!$I147)+Taxi_Commercial_Share*('Taxi-Vehicle Share Supporting D'!O210/'Taxi-Vehicle Share Supporting D'!$I210))+'Taxi-Vehicle Share Supporting D'!O105*($I59/('Car+SUV'!$I59+$I59))+'Taxi-Vehicle Share Supporting D'!O189</f>
        <v>42.079240933739428</v>
      </c>
      <c r="P141" s="167">
        <f ca="1">$I141*(Taxi_Household_Share*('Taxi-Vehicle Share Supporting D'!P126/'Taxi-Vehicle Share Supporting D'!$I126)+Taxi_Tourist_Share*('Taxi-Vehicle Share Supporting D'!P147/'Taxi-Vehicle Share Supporting D'!$I147)+Taxi_Commercial_Share*('Taxi-Vehicle Share Supporting D'!P210/'Taxi-Vehicle Share Supporting D'!$I210))+'Taxi-Vehicle Share Supporting D'!P105*($I59/('Car+SUV'!$I59+$I59))+'Taxi-Vehicle Share Supporting D'!P189</f>
        <v>48.767377772483378</v>
      </c>
      <c r="Q141" s="198">
        <f ca="1">$I141*(Taxi_Household_Share*('Taxi-Vehicle Share Supporting D'!Q126/'Taxi-Vehicle Share Supporting D'!$I126)+Taxi_Tourist_Share*('Taxi-Vehicle Share Supporting D'!Q147/'Taxi-Vehicle Share Supporting D'!$I147)+Taxi_Commercial_Share*('Taxi-Vehicle Share Supporting D'!Q210/'Taxi-Vehicle Share Supporting D'!$I210))+'Taxi-Vehicle Share Supporting D'!Q105*($I59/('Car+SUV'!$I59+$I59))+'Taxi-Vehicle Share Supporting D'!Q189</f>
        <v>54.987587575592428</v>
      </c>
      <c r="R141" s="56"/>
    </row>
    <row r="142" spans="3:18" ht="15.5" x14ac:dyDescent="0.35">
      <c r="C142" s="24" t="s">
        <v>11</v>
      </c>
      <c r="D142" s="55">
        <f>D18*(('[1]12_13 fleet'!$D388+'[1]12_13 fleet'!$D403)/'Original 2012-13 Data'!$D17)/1000000</f>
        <v>8.2677911780326365</v>
      </c>
      <c r="E142" s="56">
        <f>E18*(('[2]13_14 fleet'!$D390+'[2]13_14 fleet'!$D405)/'Original 2013-14 Data'!$D17)/1000000</f>
        <v>7.5795922240104634</v>
      </c>
      <c r="F142" s="56">
        <f>F18*(('[3]14_15 fleet'!$D390+'[3]14_15 fleet'!$D405)/'Original 2014-15 Data'!$D17)/1000000</f>
        <v>7.4576000049046254</v>
      </c>
      <c r="G142" s="56">
        <f>G18*(('[4]15_16 fleet'!$D390+'[4]15_16 fleet'!$D405)/'Original 2015-16 Data'!$D17)/1000000</f>
        <v>8.0034110467880311</v>
      </c>
      <c r="H142" s="56">
        <f>H18*(('[5]16_17 fleet_v2'!$D390+'[5]16_17 fleet_v2'!$D405)/'Original 2016-17 Data'!$D17)/1000000</f>
        <v>9.4588481044587134</v>
      </c>
      <c r="I142" s="167">
        <f>I18*(('[6]17_18 fleet_v3'!$D392+'[6]17_18 fleet_v3'!$D407)/'Original 2017-18 Data'!$D17)/1000000</f>
        <v>11.409863283469724</v>
      </c>
      <c r="J142" s="167">
        <f ca="1">$I142*(Taxi_Household_Share*('Taxi-Vehicle Share Supporting D'!J127/'Taxi-Vehicle Share Supporting D'!$I127)+Taxi_Tourist_Share*('Taxi-Vehicle Share Supporting D'!J148/'Taxi-Vehicle Share Supporting D'!$I148)+Taxi_Commercial_Share*('Taxi-Vehicle Share Supporting D'!J211/'Taxi-Vehicle Share Supporting D'!$I211))+'Taxi-Vehicle Share Supporting D'!J106*($I60/('Car+SUV'!$I60+$I60))+'Taxi-Vehicle Share Supporting D'!J190</f>
        <v>13.609459885272777</v>
      </c>
      <c r="K142" s="167">
        <f ca="1">$I142*(Taxi_Household_Share*('Taxi-Vehicle Share Supporting D'!K127/'Taxi-Vehicle Share Supporting D'!$I127)+Taxi_Tourist_Share*('Taxi-Vehicle Share Supporting D'!K148/'Taxi-Vehicle Share Supporting D'!$I148)+Taxi_Commercial_Share*('Taxi-Vehicle Share Supporting D'!K211/'Taxi-Vehicle Share Supporting D'!$I211))+'Taxi-Vehicle Share Supporting D'!K106*($I60/('Car+SUV'!$I60+$I60))+'Taxi-Vehicle Share Supporting D'!K190</f>
        <v>76.547658190344137</v>
      </c>
      <c r="L142" s="167">
        <f ca="1">$I142*(Taxi_Household_Share*('Taxi-Vehicle Share Supporting D'!L127/'Taxi-Vehicle Share Supporting D'!$I127)+Taxi_Tourist_Share*('Taxi-Vehicle Share Supporting D'!L148/'Taxi-Vehicle Share Supporting D'!$I148)+Taxi_Commercial_Share*('Taxi-Vehicle Share Supporting D'!L211/'Taxi-Vehicle Share Supporting D'!$I211))+'Taxi-Vehicle Share Supporting D'!L106*($I60/('Car+SUV'!$I60+$I60))+'Taxi-Vehicle Share Supporting D'!L190</f>
        <v>146.08224658145227</v>
      </c>
      <c r="M142" s="167">
        <f ca="1">$I142*(Taxi_Household_Share*('Taxi-Vehicle Share Supporting D'!M127/'Taxi-Vehicle Share Supporting D'!$I127)+Taxi_Tourist_Share*('Taxi-Vehicle Share Supporting D'!M148/'Taxi-Vehicle Share Supporting D'!$I148)+Taxi_Commercial_Share*('Taxi-Vehicle Share Supporting D'!M211/'Taxi-Vehicle Share Supporting D'!$I211))+'Taxi-Vehicle Share Supporting D'!M106*($I60/('Car+SUV'!$I60+$I60))+'Taxi-Vehicle Share Supporting D'!M190</f>
        <v>220.33129669607683</v>
      </c>
      <c r="N142" s="167">
        <f ca="1">$I142*(Taxi_Household_Share*('Taxi-Vehicle Share Supporting D'!N127/'Taxi-Vehicle Share Supporting D'!$I127)+Taxi_Tourist_Share*('Taxi-Vehicle Share Supporting D'!N148/'Taxi-Vehicle Share Supporting D'!$I148)+Taxi_Commercial_Share*('Taxi-Vehicle Share Supporting D'!N211/'Taxi-Vehicle Share Supporting D'!$I211))+'Taxi-Vehicle Share Supporting D'!N106*($I60/('Car+SUV'!$I60+$I60))+'Taxi-Vehicle Share Supporting D'!N190</f>
        <v>299.04875780572354</v>
      </c>
      <c r="O142" s="167">
        <f ca="1">$I142*(Taxi_Household_Share*('Taxi-Vehicle Share Supporting D'!O127/'Taxi-Vehicle Share Supporting D'!$I127)+Taxi_Tourist_Share*('Taxi-Vehicle Share Supporting D'!O148/'Taxi-Vehicle Share Supporting D'!$I148)+Taxi_Commercial_Share*('Taxi-Vehicle Share Supporting D'!O211/'Taxi-Vehicle Share Supporting D'!$I211))+'Taxi-Vehicle Share Supporting D'!O106*($I60/('Car+SUV'!$I60+$I60))+'Taxi-Vehicle Share Supporting D'!O190</f>
        <v>382.3999468199205</v>
      </c>
      <c r="P142" s="167">
        <f ca="1">$I142*(Taxi_Household_Share*('Taxi-Vehicle Share Supporting D'!P127/'Taxi-Vehicle Share Supporting D'!$I127)+Taxi_Tourist_Share*('Taxi-Vehicle Share Supporting D'!P148/'Taxi-Vehicle Share Supporting D'!$I148)+Taxi_Commercial_Share*('Taxi-Vehicle Share Supporting D'!P211/'Taxi-Vehicle Share Supporting D'!$I211))+'Taxi-Vehicle Share Supporting D'!P106*($I60/('Car+SUV'!$I60+$I60))+'Taxi-Vehicle Share Supporting D'!P190</f>
        <v>469.83747755179451</v>
      </c>
      <c r="Q142" s="198">
        <f ca="1">$I142*(Taxi_Household_Share*('Taxi-Vehicle Share Supporting D'!Q127/'Taxi-Vehicle Share Supporting D'!$I127)+Taxi_Tourist_Share*('Taxi-Vehicle Share Supporting D'!Q148/'Taxi-Vehicle Share Supporting D'!$I148)+Taxi_Commercial_Share*('Taxi-Vehicle Share Supporting D'!Q211/'Taxi-Vehicle Share Supporting D'!$I211))+'Taxi-Vehicle Share Supporting D'!Q106*($I60/('Car+SUV'!$I60+$I60))+'Taxi-Vehicle Share Supporting D'!Q190</f>
        <v>561.36200969533434</v>
      </c>
      <c r="R142" s="56"/>
    </row>
    <row r="143" spans="3:18" ht="15.5" x14ac:dyDescent="0.35">
      <c r="C143" s="24" t="s">
        <v>12</v>
      </c>
      <c r="D143" s="55">
        <f>D19*(('[1]12_13 fleet'!$D389+'[1]12_13 fleet'!$D404)/'Original 2012-13 Data'!$D18)/1000000</f>
        <v>8.8852847822872576</v>
      </c>
      <c r="E143" s="56">
        <f>E19*(('[2]13_14 fleet'!$D391+'[2]13_14 fleet'!$D406)/'Original 2013-14 Data'!$D18)/1000000</f>
        <v>9.4565840599050173</v>
      </c>
      <c r="F143" s="56">
        <f>F19*(('[3]14_15 fleet'!$D391+'[3]14_15 fleet'!$D406)/'Original 2014-15 Data'!$D18)/1000000</f>
        <v>9.9130153199018984</v>
      </c>
      <c r="G143" s="56">
        <f>G19*(('[4]15_16 fleet'!$D391+'[4]15_16 fleet'!$D406)/'Original 2015-16 Data'!$D18)/1000000</f>
        <v>10.181114355663841</v>
      </c>
      <c r="H143" s="56">
        <f>H19*(('[5]16_17 fleet_v2'!$D391+'[5]16_17 fleet_v2'!$D406)/'Original 2016-17 Data'!$D18)/1000000</f>
        <v>11.211403017097737</v>
      </c>
      <c r="I143" s="167">
        <f>I19*(('[6]17_18 fleet_v3'!$D393+'[6]17_18 fleet_v3'!$D408)/'Original 2017-18 Data'!$D18)/1000000</f>
        <v>8.7750678003636775</v>
      </c>
      <c r="J143" s="167">
        <f ca="1">$I143*(Taxi_Household_Share*('Taxi-Vehicle Share Supporting D'!J128/'Taxi-Vehicle Share Supporting D'!$I128)+Taxi_Tourist_Share*('Taxi-Vehicle Share Supporting D'!J149/'Taxi-Vehicle Share Supporting D'!$I149)+Taxi_Commercial_Share*('Taxi-Vehicle Share Supporting D'!J212/'Taxi-Vehicle Share Supporting D'!$I212))+'Taxi-Vehicle Share Supporting D'!J107*($I61/('Car+SUV'!$I61+$I61))+'Taxi-Vehicle Share Supporting D'!J191</f>
        <v>10.458596159748769</v>
      </c>
      <c r="K143" s="167">
        <f ca="1">$I143*(Taxi_Household_Share*('Taxi-Vehicle Share Supporting D'!K128/'Taxi-Vehicle Share Supporting D'!$I128)+Taxi_Tourist_Share*('Taxi-Vehicle Share Supporting D'!K149/'Taxi-Vehicle Share Supporting D'!$I149)+Taxi_Commercial_Share*('Taxi-Vehicle Share Supporting D'!K212/'Taxi-Vehicle Share Supporting D'!$I212))+'Taxi-Vehicle Share Supporting D'!K107*($I61/('Car+SUV'!$I61+$I61))+'Taxi-Vehicle Share Supporting D'!K191</f>
        <v>40.554401001300683</v>
      </c>
      <c r="L143" s="167">
        <f ca="1">$I143*(Taxi_Household_Share*('Taxi-Vehicle Share Supporting D'!L128/'Taxi-Vehicle Share Supporting D'!$I128)+Taxi_Tourist_Share*('Taxi-Vehicle Share Supporting D'!L149/'Taxi-Vehicle Share Supporting D'!$I149)+Taxi_Commercial_Share*('Taxi-Vehicle Share Supporting D'!L212/'Taxi-Vehicle Share Supporting D'!$I212))+'Taxi-Vehicle Share Supporting D'!L107*($I61/('Car+SUV'!$I61+$I61))+'Taxi-Vehicle Share Supporting D'!L191</f>
        <v>73.487790983829342</v>
      </c>
      <c r="M143" s="167">
        <f ca="1">$I143*(Taxi_Household_Share*('Taxi-Vehicle Share Supporting D'!M128/'Taxi-Vehicle Share Supporting D'!$I128)+Taxi_Tourist_Share*('Taxi-Vehicle Share Supporting D'!M149/'Taxi-Vehicle Share Supporting D'!$I149)+Taxi_Commercial_Share*('Taxi-Vehicle Share Supporting D'!M212/'Taxi-Vehicle Share Supporting D'!$I212))+'Taxi-Vehicle Share Supporting D'!M107*($I61/('Car+SUV'!$I61+$I61))+'Taxi-Vehicle Share Supporting D'!M191</f>
        <v>108.32608353702608</v>
      </c>
      <c r="N143" s="167">
        <f ca="1">$I143*(Taxi_Household_Share*('Taxi-Vehicle Share Supporting D'!N128/'Taxi-Vehicle Share Supporting D'!$I128)+Taxi_Tourist_Share*('Taxi-Vehicle Share Supporting D'!N149/'Taxi-Vehicle Share Supporting D'!$I149)+Taxi_Commercial_Share*('Taxi-Vehicle Share Supporting D'!N212/'Taxi-Vehicle Share Supporting D'!$I212))+'Taxi-Vehicle Share Supporting D'!N107*($I61/('Car+SUV'!$I61+$I61))+'Taxi-Vehicle Share Supporting D'!N191</f>
        <v>145.04231542926343</v>
      </c>
      <c r="O143" s="167">
        <f ca="1">$I143*(Taxi_Household_Share*('Taxi-Vehicle Share Supporting D'!O128/'Taxi-Vehicle Share Supporting D'!$I128)+Taxi_Tourist_Share*('Taxi-Vehicle Share Supporting D'!O149/'Taxi-Vehicle Share Supporting D'!$I149)+Taxi_Commercial_Share*('Taxi-Vehicle Share Supporting D'!O212/'Taxi-Vehicle Share Supporting D'!$I212))+'Taxi-Vehicle Share Supporting D'!O107*($I61/('Car+SUV'!$I61+$I61))+'Taxi-Vehicle Share Supporting D'!O191</f>
        <v>183.45355569087454</v>
      </c>
      <c r="P143" s="167">
        <f ca="1">$I143*(Taxi_Household_Share*('Taxi-Vehicle Share Supporting D'!P128/'Taxi-Vehicle Share Supporting D'!$I128)+Taxi_Tourist_Share*('Taxi-Vehicle Share Supporting D'!P149/'Taxi-Vehicle Share Supporting D'!$I149)+Taxi_Commercial_Share*('Taxi-Vehicle Share Supporting D'!P212/'Taxi-Vehicle Share Supporting D'!$I212))+'Taxi-Vehicle Share Supporting D'!P107*($I61/('Car+SUV'!$I61+$I61))+'Taxi-Vehicle Share Supporting D'!P191</f>
        <v>223.43596537474176</v>
      </c>
      <c r="Q143" s="198">
        <f ca="1">$I143*(Taxi_Household_Share*('Taxi-Vehicle Share Supporting D'!Q128/'Taxi-Vehicle Share Supporting D'!$I128)+Taxi_Tourist_Share*('Taxi-Vehicle Share Supporting D'!Q149/'Taxi-Vehicle Share Supporting D'!$I149)+Taxi_Commercial_Share*('Taxi-Vehicle Share Supporting D'!Q212/'Taxi-Vehicle Share Supporting D'!$I212))+'Taxi-Vehicle Share Supporting D'!Q107*($I61/('Car+SUV'!$I61+$I61))+'Taxi-Vehicle Share Supporting D'!Q191</f>
        <v>264.97128389600988</v>
      </c>
      <c r="R143" s="56"/>
    </row>
    <row r="144" spans="3:18" ht="16" thickBot="1" x14ac:dyDescent="0.4">
      <c r="C144" s="25" t="s">
        <v>13</v>
      </c>
      <c r="D144" s="58">
        <f>D20*(('[1]12_13 fleet'!$D390+'[1]12_13 fleet'!$D405)/'Original 2012-13 Data'!$D19)/1000000</f>
        <v>1.9999256891387558</v>
      </c>
      <c r="E144" s="59">
        <f>E20*(('[2]13_14 fleet'!$D392+'[2]13_14 fleet'!$D407)/'Original 2013-14 Data'!$D19)/1000000</f>
        <v>1.9867663960138944</v>
      </c>
      <c r="F144" s="59">
        <f>F20*(('[3]14_15 fleet'!$D392+'[3]14_15 fleet'!$D407)/'Original 2014-15 Data'!$D19)/1000000</f>
        <v>1.7398331203081547</v>
      </c>
      <c r="G144" s="59">
        <f>G20*(('[4]15_16 fleet'!$D392+'[4]15_16 fleet'!$D407)/'Original 2015-16 Data'!$D19)/1000000</f>
        <v>2.1484549810517803</v>
      </c>
      <c r="H144" s="59">
        <f>H20*(('[5]16_17 fleet_v2'!$D392+'[5]16_17 fleet_v2'!$D407)/'Original 2016-17 Data'!$D19)/1000000</f>
        <v>2.2566842768752626</v>
      </c>
      <c r="I144" s="171">
        <f>I20*(('[6]17_18 fleet_v3'!$D394+'[6]17_18 fleet_v3'!$D409)/'Original 2017-18 Data'!$D19)/1000000</f>
        <v>2.4541520258820388</v>
      </c>
      <c r="J144" s="171">
        <f ca="1">$I144*(Taxi_Household_Share*('Taxi-Vehicle Share Supporting D'!J129/'Taxi-Vehicle Share Supporting D'!$I129)+Taxi_Tourist_Share*('Taxi-Vehicle Share Supporting D'!J150/'Taxi-Vehicle Share Supporting D'!$I150)+Taxi_Commercial_Share*('Taxi-Vehicle Share Supporting D'!J213/'Taxi-Vehicle Share Supporting D'!$I213))+'Taxi-Vehicle Share Supporting D'!J108*($I62/('Car+SUV'!$I62+$I62))+'Taxi-Vehicle Share Supporting D'!J192</f>
        <v>2.802991767330711</v>
      </c>
      <c r="K144" s="171">
        <f ca="1">$I144*(Taxi_Household_Share*('Taxi-Vehicle Share Supporting D'!K129/'Taxi-Vehicle Share Supporting D'!$I129)+Taxi_Tourist_Share*('Taxi-Vehicle Share Supporting D'!K150/'Taxi-Vehicle Share Supporting D'!$I150)+Taxi_Commercial_Share*('Taxi-Vehicle Share Supporting D'!K213/'Taxi-Vehicle Share Supporting D'!$I213))+'Taxi-Vehicle Share Supporting D'!K108*($I62/('Car+SUV'!$I62+$I62))+'Taxi-Vehicle Share Supporting D'!K192</f>
        <v>21.536953500623557</v>
      </c>
      <c r="L144" s="171">
        <f ca="1">$I144*(Taxi_Household_Share*('Taxi-Vehicle Share Supporting D'!L129/'Taxi-Vehicle Share Supporting D'!$I129)+Taxi_Tourist_Share*('Taxi-Vehicle Share Supporting D'!L150/'Taxi-Vehicle Share Supporting D'!$I150)+Taxi_Commercial_Share*('Taxi-Vehicle Share Supporting D'!L213/'Taxi-Vehicle Share Supporting D'!$I213))+'Taxi-Vehicle Share Supporting D'!L108*($I62/('Car+SUV'!$I62+$I62))+'Taxi-Vehicle Share Supporting D'!L192</f>
        <v>40.465204402820419</v>
      </c>
      <c r="M144" s="171">
        <f ca="1">$I144*(Taxi_Household_Share*('Taxi-Vehicle Share Supporting D'!M129/'Taxi-Vehicle Share Supporting D'!$I129)+Taxi_Tourist_Share*('Taxi-Vehicle Share Supporting D'!M150/'Taxi-Vehicle Share Supporting D'!$I150)+Taxi_Commercial_Share*('Taxi-Vehicle Share Supporting D'!M213/'Taxi-Vehicle Share Supporting D'!$I213))+'Taxi-Vehicle Share Supporting D'!M108*($I62/('Car+SUV'!$I62+$I62))+'Taxi-Vehicle Share Supporting D'!M192</f>
        <v>58.96104777975107</v>
      </c>
      <c r="N144" s="171">
        <f ca="1">$I144*(Taxi_Household_Share*('Taxi-Vehicle Share Supporting D'!N129/'Taxi-Vehicle Share Supporting D'!$I129)+Taxi_Tourist_Share*('Taxi-Vehicle Share Supporting D'!N150/'Taxi-Vehicle Share Supporting D'!$I150)+Taxi_Commercial_Share*('Taxi-Vehicle Share Supporting D'!N213/'Taxi-Vehicle Share Supporting D'!$I213))+'Taxi-Vehicle Share Supporting D'!N108*($I62/('Car+SUV'!$I62+$I62))+'Taxi-Vehicle Share Supporting D'!N192</f>
        <v>76.935433205582882</v>
      </c>
      <c r="O144" s="171">
        <f ca="1">$I144*(Taxi_Household_Share*('Taxi-Vehicle Share Supporting D'!O129/'Taxi-Vehicle Share Supporting D'!$I129)+Taxi_Tourist_Share*('Taxi-Vehicle Share Supporting D'!O150/'Taxi-Vehicle Share Supporting D'!$I150)+Taxi_Commercial_Share*('Taxi-Vehicle Share Supporting D'!O213/'Taxi-Vehicle Share Supporting D'!$I213))+'Taxi-Vehicle Share Supporting D'!O108*($I62/('Car+SUV'!$I62+$I62))+'Taxi-Vehicle Share Supporting D'!O192</f>
        <v>94.303110274472147</v>
      </c>
      <c r="P144" s="171">
        <f ca="1">$I144*(Taxi_Household_Share*('Taxi-Vehicle Share Supporting D'!P129/'Taxi-Vehicle Share Supporting D'!$I129)+Taxi_Tourist_Share*('Taxi-Vehicle Share Supporting D'!P150/'Taxi-Vehicle Share Supporting D'!$I150)+Taxi_Commercial_Share*('Taxi-Vehicle Share Supporting D'!P213/'Taxi-Vehicle Share Supporting D'!$I213))+'Taxi-Vehicle Share Supporting D'!P108*($I62/('Car+SUV'!$I62+$I62))+'Taxi-Vehicle Share Supporting D'!P192</f>
        <v>110.92062008037976</v>
      </c>
      <c r="Q144" s="199">
        <f ca="1">$I144*(Taxi_Household_Share*('Taxi-Vehicle Share Supporting D'!Q129/'Taxi-Vehicle Share Supporting D'!$I129)+Taxi_Tourist_Share*('Taxi-Vehicle Share Supporting D'!Q150/'Taxi-Vehicle Share Supporting D'!$I150)+Taxi_Commercial_Share*('Taxi-Vehicle Share Supporting D'!Q213/'Taxi-Vehicle Share Supporting D'!$I213))+'Taxi-Vehicle Share Supporting D'!Q108*($I62/('Car+SUV'!$I62+$I62))+'Taxi-Vehicle Share Supporting D'!Q192</f>
        <v>126.77879260749521</v>
      </c>
      <c r="R144" s="56"/>
    </row>
    <row r="145" spans="3:18" ht="16.5" thickTop="1" thickBot="1" x14ac:dyDescent="0.4">
      <c r="C145" s="31" t="s">
        <v>24</v>
      </c>
      <c r="D145" s="61">
        <f t="shared" ref="D145:N145" si="90">SUM(D131:D144)</f>
        <v>72.037163507162475</v>
      </c>
      <c r="E145" s="62">
        <f t="shared" si="90"/>
        <v>71.584924474733342</v>
      </c>
      <c r="F145" s="62">
        <f t="shared" si="90"/>
        <v>71.246826967757883</v>
      </c>
      <c r="G145" s="62">
        <f t="shared" ref="G145:H145" si="91">SUM(G131:G144)</f>
        <v>70.527300522370751</v>
      </c>
      <c r="H145" s="62">
        <f t="shared" si="91"/>
        <v>79.610439330117231</v>
      </c>
      <c r="I145" s="200">
        <f t="shared" si="90"/>
        <v>81.211926647617702</v>
      </c>
      <c r="J145" s="200">
        <f t="shared" ca="1" si="90"/>
        <v>95.943716274314298</v>
      </c>
      <c r="K145" s="200">
        <f t="shared" ca="1" si="90"/>
        <v>577.72786470117342</v>
      </c>
      <c r="L145" s="200">
        <f t="shared" ca="1" si="90"/>
        <v>1094.6462016687835</v>
      </c>
      <c r="M145" s="200">
        <f t="shared" ca="1" si="90"/>
        <v>1630.8711685215847</v>
      </c>
      <c r="N145" s="200">
        <f t="shared" ca="1" si="90"/>
        <v>2183.8616744216047</v>
      </c>
      <c r="O145" s="200">
        <f t="shared" ref="O145:Q145" ca="1" si="92">SUM(O131:O144)</f>
        <v>2752.2193179691144</v>
      </c>
      <c r="P145" s="200">
        <f t="shared" ca="1" si="92"/>
        <v>3332.2178716813482</v>
      </c>
      <c r="Q145" s="201">
        <f t="shared" ca="1" si="92"/>
        <v>3923.187583473115</v>
      </c>
      <c r="R145" s="56"/>
    </row>
    <row r="146" spans="3:18" ht="13" thickTop="1" x14ac:dyDescent="0.25"/>
    <row r="147" spans="3:18" ht="13" thickBot="1" x14ac:dyDescent="0.3"/>
    <row r="148" spans="3:18" ht="16" thickTop="1" x14ac:dyDescent="0.35">
      <c r="C148" s="32" t="s">
        <v>127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  <c r="R148" s="121"/>
    </row>
    <row r="149" spans="3:18" ht="13.5" thickBot="1" x14ac:dyDescent="0.35">
      <c r="C149" s="18"/>
      <c r="D149" s="65" t="s">
        <v>25</v>
      </c>
      <c r="E149" s="65" t="s">
        <v>37</v>
      </c>
      <c r="F149" s="65" t="s">
        <v>38</v>
      </c>
      <c r="G149" s="37" t="s">
        <v>177</v>
      </c>
      <c r="H149" s="37" t="s">
        <v>178</v>
      </c>
      <c r="I149" s="65" t="s">
        <v>26</v>
      </c>
      <c r="J149" s="65" t="s">
        <v>27</v>
      </c>
      <c r="K149" s="65" t="s">
        <v>28</v>
      </c>
      <c r="L149" s="65" t="s">
        <v>29</v>
      </c>
      <c r="M149" s="65" t="s">
        <v>30</v>
      </c>
      <c r="N149" s="65" t="s">
        <v>31</v>
      </c>
      <c r="O149" s="37" t="s">
        <v>174</v>
      </c>
      <c r="P149" s="37" t="s">
        <v>175</v>
      </c>
      <c r="Q149" s="38" t="s">
        <v>176</v>
      </c>
      <c r="R149" s="65"/>
    </row>
    <row r="150" spans="3:18" ht="14" thickTop="1" thickBot="1" x14ac:dyDescent="0.35">
      <c r="C150" s="70"/>
      <c r="D150" s="71" t="s">
        <v>39</v>
      </c>
      <c r="E150" s="71" t="s">
        <v>39</v>
      </c>
      <c r="F150" s="71" t="s">
        <v>39</v>
      </c>
      <c r="G150" s="71" t="s">
        <v>39</v>
      </c>
      <c r="H150" s="71" t="s">
        <v>39</v>
      </c>
      <c r="I150" s="71" t="s">
        <v>39</v>
      </c>
      <c r="J150" s="71" t="s">
        <v>32</v>
      </c>
      <c r="K150" s="71" t="s">
        <v>32</v>
      </c>
      <c r="L150" s="71" t="s">
        <v>32</v>
      </c>
      <c r="M150" s="71" t="s">
        <v>32</v>
      </c>
      <c r="N150" s="71" t="s">
        <v>32</v>
      </c>
      <c r="O150" s="65" t="s">
        <v>32</v>
      </c>
      <c r="P150" s="65" t="s">
        <v>32</v>
      </c>
      <c r="Q150" s="66" t="s">
        <v>32</v>
      </c>
      <c r="R150" s="65"/>
    </row>
    <row r="151" spans="3:18" ht="16" thickTop="1" x14ac:dyDescent="0.35">
      <c r="C151" s="24" t="s">
        <v>0</v>
      </c>
      <c r="D151" s="42">
        <f>('[1]12_13 fleet'!$D159+'[1]12_13 fleet'!$D174)*'Light Vehicle Supporting Data'!D$194</f>
        <v>79</v>
      </c>
      <c r="E151" s="43">
        <f>('[2]13_14 fleet'!$D160+'[2]13_14 fleet'!$D175)*'Light Vehicle Supporting Data'!E$194</f>
        <v>79</v>
      </c>
      <c r="F151" s="43">
        <f>('[3]14_15 fleet'!$D160+'[3]14_15 fleet'!$D175)*'Light Vehicle Supporting Data'!F$194</f>
        <v>76</v>
      </c>
      <c r="G151" s="43">
        <f>('[4]15_16 fleet'!$D160+'[4]15_16 fleet'!$D175)*'Light Vehicle Supporting Data'!G$194</f>
        <v>81</v>
      </c>
      <c r="H151" s="43">
        <f>('[5]16_17 fleet_v2'!$D160+'[5]16_17 fleet_v2'!$D175)*'Light Vehicle Supporting Data'!H$194</f>
        <v>90</v>
      </c>
      <c r="I151" s="202">
        <f>('[6]17_18 fleet_v3'!$D161+'[6]17_18 fleet_v3'!$D176)*'Light Vehicle Supporting Data'!I$194</f>
        <v>90</v>
      </c>
      <c r="J151" s="202">
        <f ca="1">$I151*(J131/$I131)</f>
        <v>105.6788278767112</v>
      </c>
      <c r="K151" s="202">
        <f t="shared" ref="K151:Q151" ca="1" si="93">$I151*(K131/$I131)</f>
        <v>1250.7101953165579</v>
      </c>
      <c r="L151" s="202">
        <f t="shared" ca="1" si="93"/>
        <v>2476.7662059185418</v>
      </c>
      <c r="M151" s="202">
        <f t="shared" ca="1" si="93"/>
        <v>3743.8350749223032</v>
      </c>
      <c r="N151" s="202">
        <f t="shared" ca="1" si="93"/>
        <v>5039.1892999815527</v>
      </c>
      <c r="O151" s="129">
        <f t="shared" ca="1" si="93"/>
        <v>6360.6967823596897</v>
      </c>
      <c r="P151" s="129">
        <f t="shared" ca="1" si="93"/>
        <v>7699.5212532450078</v>
      </c>
      <c r="Q151" s="197">
        <f t="shared" ca="1" si="93"/>
        <v>9054.5818663913979</v>
      </c>
      <c r="R151" s="56"/>
    </row>
    <row r="152" spans="3:18" ht="15.5" x14ac:dyDescent="0.35">
      <c r="C152" s="24" t="s">
        <v>1</v>
      </c>
      <c r="D152" s="42">
        <f>('[1]12_13 fleet'!$D160+'[1]12_13 fleet'!$D175)*'Light Vehicle Supporting Data'!D$194</f>
        <v>664</v>
      </c>
      <c r="E152" s="43">
        <f>('[2]13_14 fleet'!$D161+'[2]13_14 fleet'!$D176)*'Light Vehicle Supporting Data'!E$194</f>
        <v>668</v>
      </c>
      <c r="F152" s="43">
        <f>('[3]14_15 fleet'!$D161+'[3]14_15 fleet'!$D176)*'Light Vehicle Supporting Data'!F$194</f>
        <v>719</v>
      </c>
      <c r="G152" s="43">
        <f>('[4]15_16 fleet'!$D161+'[4]15_16 fleet'!$D176)*'Light Vehicle Supporting Data'!G$194</f>
        <v>741</v>
      </c>
      <c r="H152" s="43">
        <f>('[5]16_17 fleet_v2'!$D161+'[5]16_17 fleet_v2'!$D176)*'Light Vehicle Supporting Data'!H$194</f>
        <v>776</v>
      </c>
      <c r="I152" s="202">
        <f>('[6]17_18 fleet_v3'!$D162+'[6]17_18 fleet_v3'!$D177)*'Light Vehicle Supporting Data'!I$194</f>
        <v>864</v>
      </c>
      <c r="J152" s="202">
        <f t="shared" ref="J152:Q152" ca="1" si="94">$I152*(J132/$I132)</f>
        <v>1032.4030596603443</v>
      </c>
      <c r="K152" s="202">
        <f t="shared" ca="1" si="94"/>
        <v>4255.3038208080134</v>
      </c>
      <c r="L152" s="202">
        <f t="shared" ca="1" si="94"/>
        <v>7778.8763852357688</v>
      </c>
      <c r="M152" s="202">
        <f t="shared" ca="1" si="94"/>
        <v>11507.684380274954</v>
      </c>
      <c r="N152" s="202">
        <f t="shared" ca="1" si="94"/>
        <v>15434.61679909972</v>
      </c>
      <c r="O152" s="167">
        <f t="shared" ca="1" si="94"/>
        <v>19548.597703284995</v>
      </c>
      <c r="P152" s="167">
        <f t="shared" ca="1" si="94"/>
        <v>23829.589199520029</v>
      </c>
      <c r="Q152" s="198">
        <f t="shared" ca="1" si="94"/>
        <v>28268.866710390597</v>
      </c>
      <c r="R152" s="56"/>
    </row>
    <row r="153" spans="3:18" ht="15.5" x14ac:dyDescent="0.35">
      <c r="C153" s="24" t="s">
        <v>2</v>
      </c>
      <c r="D153" s="42">
        <f>('[1]12_13 fleet'!$D161+'[1]12_13 fleet'!$D176)*'Light Vehicle Supporting Data'!D$194</f>
        <v>211</v>
      </c>
      <c r="E153" s="43">
        <f>('[2]13_14 fleet'!$D162+'[2]13_14 fleet'!$D177)*'Light Vehicle Supporting Data'!E$194</f>
        <v>198</v>
      </c>
      <c r="F153" s="43">
        <f>('[3]14_15 fleet'!$D162+'[3]14_15 fleet'!$D177)*'Light Vehicle Supporting Data'!F$194</f>
        <v>211</v>
      </c>
      <c r="G153" s="43">
        <f>('[4]15_16 fleet'!$D162+'[4]15_16 fleet'!$D177)*'Light Vehicle Supporting Data'!G$194</f>
        <v>219</v>
      </c>
      <c r="H153" s="43">
        <f>('[5]16_17 fleet_v2'!$D162+'[5]16_17 fleet_v2'!$D177)*'Light Vehicle Supporting Data'!H$194</f>
        <v>262</v>
      </c>
      <c r="I153" s="202">
        <f>('[6]17_18 fleet_v3'!$D163+'[6]17_18 fleet_v3'!$D178)*'Light Vehicle Supporting Data'!I$194</f>
        <v>247</v>
      </c>
      <c r="J153" s="202">
        <f t="shared" ref="J153:Q153" ca="1" si="95">$I153*(J133/$I133)</f>
        <v>290.2868233161692</v>
      </c>
      <c r="K153" s="202">
        <f t="shared" ca="1" si="95"/>
        <v>2421.7379229174567</v>
      </c>
      <c r="L153" s="202">
        <f t="shared" ca="1" si="95"/>
        <v>4714.1382856140681</v>
      </c>
      <c r="M153" s="202">
        <f t="shared" ca="1" si="95"/>
        <v>7093.4172688508852</v>
      </c>
      <c r="N153" s="202">
        <f t="shared" ca="1" si="95"/>
        <v>9544.3813568984824</v>
      </c>
      <c r="O153" s="167">
        <f t="shared" ca="1" si="95"/>
        <v>12056.125870791569</v>
      </c>
      <c r="P153" s="167">
        <f t="shared" ca="1" si="95"/>
        <v>14609.073216760184</v>
      </c>
      <c r="Q153" s="198">
        <f t="shared" ca="1" si="95"/>
        <v>17197.85600133321</v>
      </c>
      <c r="R153" s="56"/>
    </row>
    <row r="154" spans="3:18" ht="15.5" x14ac:dyDescent="0.35">
      <c r="C154" s="24" t="s">
        <v>3</v>
      </c>
      <c r="D154" s="42">
        <f>('[1]12_13 fleet'!$D162+'[1]12_13 fleet'!$D177)*'Light Vehicle Supporting Data'!D$194</f>
        <v>203</v>
      </c>
      <c r="E154" s="43">
        <f>('[2]13_14 fleet'!$D163+'[2]13_14 fleet'!$D178)*'Light Vehicle Supporting Data'!E$194</f>
        <v>218</v>
      </c>
      <c r="F154" s="43">
        <f>('[3]14_15 fleet'!$D163+'[3]14_15 fleet'!$D178)*'Light Vehicle Supporting Data'!F$194</f>
        <v>216</v>
      </c>
      <c r="G154" s="43">
        <f>('[4]15_16 fleet'!$D163+'[4]15_16 fleet'!$D178)*'Light Vehicle Supporting Data'!G$194</f>
        <v>215</v>
      </c>
      <c r="H154" s="43">
        <f>('[5]16_17 fleet_v2'!$D163+'[5]16_17 fleet_v2'!$D178)*'Light Vehicle Supporting Data'!H$194</f>
        <v>256</v>
      </c>
      <c r="I154" s="202">
        <f>('[6]17_18 fleet_v3'!$D164+'[6]17_18 fleet_v3'!$D179)*'Light Vehicle Supporting Data'!I$194</f>
        <v>260</v>
      </c>
      <c r="J154" s="202">
        <f t="shared" ref="J154:Q154" ca="1" si="96">$I154*(J134/$I134)</f>
        <v>304.1258566225236</v>
      </c>
      <c r="K154" s="202">
        <f t="shared" ca="1" si="96"/>
        <v>2072.555393375218</v>
      </c>
      <c r="L154" s="202">
        <f t="shared" ca="1" si="96"/>
        <v>3947.7361119183779</v>
      </c>
      <c r="M154" s="202">
        <f t="shared" ca="1" si="96"/>
        <v>5865.6742196522237</v>
      </c>
      <c r="N154" s="202">
        <f t="shared" ca="1" si="96"/>
        <v>7815.4195930446522</v>
      </c>
      <c r="O154" s="167">
        <f t="shared" ca="1" si="96"/>
        <v>9783.8972217094379</v>
      </c>
      <c r="P154" s="167">
        <f t="shared" ca="1" si="96"/>
        <v>11756.602602077775</v>
      </c>
      <c r="Q154" s="198">
        <f t="shared" ca="1" si="96"/>
        <v>13728.78549015679</v>
      </c>
      <c r="R154" s="56"/>
    </row>
    <row r="155" spans="3:18" ht="15.5" x14ac:dyDescent="0.35">
      <c r="C155" s="24" t="s">
        <v>4</v>
      </c>
      <c r="D155" s="42">
        <f>('[1]12_13 fleet'!$D163+'[1]12_13 fleet'!$D178)*'Light Vehicle Supporting Data'!D$194</f>
        <v>17</v>
      </c>
      <c r="E155" s="43">
        <f>('[2]13_14 fleet'!$D164+'[2]13_14 fleet'!$D179)*'Light Vehicle Supporting Data'!E$194</f>
        <v>16</v>
      </c>
      <c r="F155" s="43">
        <f>('[3]14_15 fleet'!$D164+'[3]14_15 fleet'!$D179)*'Light Vehicle Supporting Data'!F$194</f>
        <v>25</v>
      </c>
      <c r="G155" s="43">
        <f>('[4]15_16 fleet'!$D164+'[4]15_16 fleet'!$D179)*'Light Vehicle Supporting Data'!G$194</f>
        <v>24</v>
      </c>
      <c r="H155" s="43">
        <f>('[5]16_17 fleet_v2'!$D164+'[5]16_17 fleet_v2'!$D179)*'Light Vehicle Supporting Data'!H$194</f>
        <v>27</v>
      </c>
      <c r="I155" s="202">
        <f>('[6]17_18 fleet_v3'!$D165+'[6]17_18 fleet_v3'!$D180)*'Light Vehicle Supporting Data'!I$194</f>
        <v>24</v>
      </c>
      <c r="J155" s="202">
        <f t="shared" ref="J155:Q155" ca="1" si="97">$I155*(J135/$I135)</f>
        <v>27.61171131009776</v>
      </c>
      <c r="K155" s="202">
        <f t="shared" ca="1" si="97"/>
        <v>355.07822594671916</v>
      </c>
      <c r="L155" s="202">
        <f t="shared" ca="1" si="97"/>
        <v>689.76260304296375</v>
      </c>
      <c r="M155" s="202">
        <f t="shared" ca="1" si="97"/>
        <v>1018.4704168278804</v>
      </c>
      <c r="N155" s="202">
        <f t="shared" ca="1" si="97"/>
        <v>1340.067228443434</v>
      </c>
      <c r="O155" s="167">
        <f t="shared" ca="1" si="97"/>
        <v>1653.8551501414827</v>
      </c>
      <c r="P155" s="167">
        <f t="shared" ca="1" si="97"/>
        <v>1956.3584250817992</v>
      </c>
      <c r="Q155" s="198">
        <f t="shared" ca="1" si="97"/>
        <v>2247.1994390445807</v>
      </c>
      <c r="R155" s="56"/>
    </row>
    <row r="156" spans="3:18" ht="15.5" x14ac:dyDescent="0.35">
      <c r="C156" s="24" t="s">
        <v>5</v>
      </c>
      <c r="D156" s="42">
        <f>('[1]12_13 fleet'!$D164+'[1]12_13 fleet'!$D179)*'Light Vehicle Supporting Data'!D$194</f>
        <v>72</v>
      </c>
      <c r="E156" s="43">
        <f>('[2]13_14 fleet'!$D165+'[2]13_14 fleet'!$D180)*'Light Vehicle Supporting Data'!E$194</f>
        <v>75</v>
      </c>
      <c r="F156" s="43">
        <f>('[3]14_15 fleet'!$D165+'[3]14_15 fleet'!$D180)*'Light Vehicle Supporting Data'!F$194</f>
        <v>79</v>
      </c>
      <c r="G156" s="43">
        <f>('[4]15_16 fleet'!$D165+'[4]15_16 fleet'!$D180)*'Light Vehicle Supporting Data'!G$194</f>
        <v>91</v>
      </c>
      <c r="H156" s="43">
        <f>('[5]16_17 fleet_v2'!$D165+'[5]16_17 fleet_v2'!$D180)*'Light Vehicle Supporting Data'!H$194</f>
        <v>93</v>
      </c>
      <c r="I156" s="202">
        <f>('[6]17_18 fleet_v3'!$D166+'[6]17_18 fleet_v3'!$D181)*'Light Vehicle Supporting Data'!I$194</f>
        <v>117</v>
      </c>
      <c r="J156" s="202">
        <f t="shared" ref="J156:Q156" ca="1" si="98">$I156*(J136/$I136)</f>
        <v>136.72455611694616</v>
      </c>
      <c r="K156" s="202">
        <f t="shared" ca="1" si="98"/>
        <v>1063.1301105073296</v>
      </c>
      <c r="L156" s="202">
        <f t="shared" ca="1" si="98"/>
        <v>2045.9602388785211</v>
      </c>
      <c r="M156" s="202">
        <f t="shared" ca="1" si="98"/>
        <v>3054.2021608564833</v>
      </c>
      <c r="N156" s="202">
        <f t="shared" ca="1" si="98"/>
        <v>4085.2553872989047</v>
      </c>
      <c r="O156" s="167">
        <f t="shared" ca="1" si="98"/>
        <v>5136.0679883491466</v>
      </c>
      <c r="P156" s="167">
        <f t="shared" ca="1" si="98"/>
        <v>6199.8631036196621</v>
      </c>
      <c r="Q156" s="198">
        <f t="shared" ca="1" si="98"/>
        <v>7276.5079168724969</v>
      </c>
      <c r="R156" s="56"/>
    </row>
    <row r="157" spans="3:18" ht="15.5" x14ac:dyDescent="0.35">
      <c r="C157" s="24" t="s">
        <v>6</v>
      </c>
      <c r="D157" s="42">
        <f>('[1]12_13 fleet'!$D165+'[1]12_13 fleet'!$D180)*'Light Vehicle Supporting Data'!D$194</f>
        <v>32</v>
      </c>
      <c r="E157" s="43">
        <f>('[2]13_14 fleet'!$D166+'[2]13_14 fleet'!$D181)*'Light Vehicle Supporting Data'!E$194</f>
        <v>36</v>
      </c>
      <c r="F157" s="43">
        <f>('[3]14_15 fleet'!$D166+'[3]14_15 fleet'!$D181)*'Light Vehicle Supporting Data'!F$194</f>
        <v>36</v>
      </c>
      <c r="G157" s="43">
        <f>('[4]15_16 fleet'!$D166+'[4]15_16 fleet'!$D181)*'Light Vehicle Supporting Data'!G$194</f>
        <v>35</v>
      </c>
      <c r="H157" s="43">
        <f>('[5]16_17 fleet_v2'!$D166+'[5]16_17 fleet_v2'!$D181)*'Light Vehicle Supporting Data'!H$194</f>
        <v>38</v>
      </c>
      <c r="I157" s="202">
        <f>('[6]17_18 fleet_v3'!$D167+'[6]17_18 fleet_v3'!$D182)*'Light Vehicle Supporting Data'!I$194</f>
        <v>49</v>
      </c>
      <c r="J157" s="202">
        <f t="shared" ref="J157:Q157" ca="1" si="99">$I157*(J137/$I137)</f>
        <v>57.619373638020164</v>
      </c>
      <c r="K157" s="202">
        <f t="shared" ca="1" si="99"/>
        <v>766.16527801679865</v>
      </c>
      <c r="L157" s="202">
        <f t="shared" ca="1" si="99"/>
        <v>1530.8845540210345</v>
      </c>
      <c r="M157" s="202">
        <f t="shared" ca="1" si="99"/>
        <v>2329.3243058987132</v>
      </c>
      <c r="N157" s="202">
        <f t="shared" ca="1" si="99"/>
        <v>3158.9516053826414</v>
      </c>
      <c r="O157" s="167">
        <f t="shared" ca="1" si="99"/>
        <v>4017.4288892328245</v>
      </c>
      <c r="P157" s="167">
        <f t="shared" ca="1" si="99"/>
        <v>4898.8574147551371</v>
      </c>
      <c r="Q157" s="198">
        <f t="shared" ca="1" si="99"/>
        <v>5802.8962775451746</v>
      </c>
      <c r="R157" s="56"/>
    </row>
    <row r="158" spans="3:18" ht="15.5" x14ac:dyDescent="0.35">
      <c r="C158" s="24" t="s">
        <v>7</v>
      </c>
      <c r="D158" s="42">
        <f>('[1]12_13 fleet'!$D166+'[1]12_13 fleet'!$D181)*'Light Vehicle Supporting Data'!D$194</f>
        <v>102</v>
      </c>
      <c r="E158" s="43">
        <f>('[2]13_14 fleet'!$D167+'[2]13_14 fleet'!$D182)*'Light Vehicle Supporting Data'!E$194</f>
        <v>107</v>
      </c>
      <c r="F158" s="43">
        <f>('[3]14_15 fleet'!$D167+'[3]14_15 fleet'!$D182)*'Light Vehicle Supporting Data'!F$194</f>
        <v>97</v>
      </c>
      <c r="G158" s="43">
        <f>('[4]15_16 fleet'!$D167+'[4]15_16 fleet'!$D182)*'Light Vehicle Supporting Data'!G$194</f>
        <v>97</v>
      </c>
      <c r="H158" s="43">
        <f>('[5]16_17 fleet_v2'!$D167+'[5]16_17 fleet_v2'!$D182)*'Light Vehicle Supporting Data'!H$194</f>
        <v>201</v>
      </c>
      <c r="I158" s="202">
        <f>('[6]17_18 fleet_v3'!$D168+'[6]17_18 fleet_v3'!$D183)*'Light Vehicle Supporting Data'!I$194</f>
        <v>127</v>
      </c>
      <c r="J158" s="202">
        <f t="shared" ref="J158:Q158" ca="1" si="100">$I158*(J138/$I138)</f>
        <v>147.08957462119167</v>
      </c>
      <c r="K158" s="202">
        <f t="shared" ca="1" si="100"/>
        <v>1489.3422980872415</v>
      </c>
      <c r="L158" s="202">
        <f t="shared" ca="1" si="100"/>
        <v>2886.6493645373048</v>
      </c>
      <c r="M158" s="202">
        <f t="shared" ca="1" si="100"/>
        <v>4292.1888622081888</v>
      </c>
      <c r="N158" s="202">
        <f t="shared" ca="1" si="100"/>
        <v>5694.3128506214034</v>
      </c>
      <c r="O158" s="167">
        <f t="shared" ca="1" si="100"/>
        <v>7092.9648790554475</v>
      </c>
      <c r="P158" s="167">
        <f t="shared" ca="1" si="100"/>
        <v>8476.7331449435314</v>
      </c>
      <c r="Q158" s="198">
        <f t="shared" ca="1" si="100"/>
        <v>9845.3152971230211</v>
      </c>
      <c r="R158" s="56"/>
    </row>
    <row r="159" spans="3:18" ht="15.5" x14ac:dyDescent="0.35">
      <c r="C159" s="24" t="s">
        <v>8</v>
      </c>
      <c r="D159" s="42">
        <f>('[1]12_13 fleet'!$D167+'[1]12_13 fleet'!$D182)*'Light Vehicle Supporting Data'!D$194</f>
        <v>144</v>
      </c>
      <c r="E159" s="43">
        <f>('[2]13_14 fleet'!$D168+'[2]13_14 fleet'!$D183)*'Light Vehicle Supporting Data'!E$194</f>
        <v>142</v>
      </c>
      <c r="F159" s="43">
        <f>('[3]14_15 fleet'!$D168+'[3]14_15 fleet'!$D183)*'Light Vehicle Supporting Data'!F$194</f>
        <v>146</v>
      </c>
      <c r="G159" s="43">
        <f>('[4]15_16 fleet'!$D168+'[4]15_16 fleet'!$D183)*'Light Vehicle Supporting Data'!G$194</f>
        <v>147</v>
      </c>
      <c r="H159" s="43">
        <f>('[5]16_17 fleet_v2'!$D168+'[5]16_17 fleet_v2'!$D183)*'Light Vehicle Supporting Data'!H$194</f>
        <v>149</v>
      </c>
      <c r="I159" s="202">
        <f>('[6]17_18 fleet_v3'!$D169+'[6]17_18 fleet_v3'!$D184)*'Light Vehicle Supporting Data'!I$194</f>
        <v>190</v>
      </c>
      <c r="J159" s="202">
        <f t="shared" ref="J159:Q159" ca="1" si="101">$I159*(J139/$I139)</f>
        <v>224.03359001016975</v>
      </c>
      <c r="K159" s="202">
        <f t="shared" ca="1" si="101"/>
        <v>1193.1010311799298</v>
      </c>
      <c r="L159" s="202">
        <f t="shared" ca="1" si="101"/>
        <v>2238.544601481402</v>
      </c>
      <c r="M159" s="202">
        <f t="shared" ca="1" si="101"/>
        <v>3329.1646026900685</v>
      </c>
      <c r="N159" s="202">
        <f t="shared" ca="1" si="101"/>
        <v>4459.5993391834163</v>
      </c>
      <c r="O159" s="167">
        <f t="shared" ca="1" si="101"/>
        <v>5627.9499536602798</v>
      </c>
      <c r="P159" s="167">
        <f t="shared" ca="1" si="101"/>
        <v>6825.8847877208491</v>
      </c>
      <c r="Q159" s="198">
        <f t="shared" ca="1" si="101"/>
        <v>8052.1882412466766</v>
      </c>
      <c r="R159" s="56"/>
    </row>
    <row r="160" spans="3:18" ht="15.5" x14ac:dyDescent="0.35">
      <c r="C160" s="24" t="s">
        <v>9</v>
      </c>
      <c r="D160" s="42">
        <f>('[1]12_13 fleet'!$D168+'[1]12_13 fleet'!$D183)*'Light Vehicle Supporting Data'!D$194</f>
        <v>94</v>
      </c>
      <c r="E160" s="43">
        <f>('[2]13_14 fleet'!$D169+'[2]13_14 fleet'!$D184)*'Light Vehicle Supporting Data'!E$194</f>
        <v>97</v>
      </c>
      <c r="F160" s="43">
        <f>('[3]14_15 fleet'!$D169+'[3]14_15 fleet'!$D184)*'Light Vehicle Supporting Data'!F$194</f>
        <v>105</v>
      </c>
      <c r="G160" s="43">
        <f>('[4]15_16 fleet'!$D169+'[4]15_16 fleet'!$D184)*'Light Vehicle Supporting Data'!G$194</f>
        <v>112</v>
      </c>
      <c r="H160" s="43">
        <f>('[5]16_17 fleet_v2'!$D169+'[5]16_17 fleet_v2'!$D184)*'Light Vehicle Supporting Data'!H$194</f>
        <v>124</v>
      </c>
      <c r="I160" s="202">
        <f>('[6]17_18 fleet_v3'!$D170+'[6]17_18 fleet_v3'!$D185)*'Light Vehicle Supporting Data'!I$194</f>
        <v>133</v>
      </c>
      <c r="J160" s="202">
        <f t="shared" ref="J160:Q160" ca="1" si="102">$I160*(J140/$I140)</f>
        <v>153.94391968099177</v>
      </c>
      <c r="K160" s="202">
        <f t="shared" ca="1" si="102"/>
        <v>1105.4988544800428</v>
      </c>
      <c r="L160" s="202">
        <f t="shared" ca="1" si="102"/>
        <v>2095.3420245477519</v>
      </c>
      <c r="M160" s="202">
        <f t="shared" ca="1" si="102"/>
        <v>3088.8791517550953</v>
      </c>
      <c r="N160" s="202">
        <f t="shared" ca="1" si="102"/>
        <v>4073.5116585592395</v>
      </c>
      <c r="O160" s="167">
        <f t="shared" ca="1" si="102"/>
        <v>5048.841454527078</v>
      </c>
      <c r="P160" s="167">
        <f t="shared" ca="1" si="102"/>
        <v>6006.4038565767432</v>
      </c>
      <c r="Q160" s="198">
        <f t="shared" ca="1" si="102"/>
        <v>6944.6680134217131</v>
      </c>
      <c r="R160" s="56"/>
    </row>
    <row r="161" spans="3:18" ht="15.5" x14ac:dyDescent="0.35">
      <c r="C161" s="24" t="s">
        <v>10</v>
      </c>
      <c r="D161" s="42">
        <f>('[1]12_13 fleet'!$D169+'[1]12_13 fleet'!$D184)*'Light Vehicle Supporting Data'!D$194</f>
        <v>51</v>
      </c>
      <c r="E161" s="43">
        <f>('[2]13_14 fleet'!$D170+'[2]13_14 fleet'!$D185)*'Light Vehicle Supporting Data'!E$194</f>
        <v>55</v>
      </c>
      <c r="F161" s="43">
        <f>('[3]14_15 fleet'!$D170+'[3]14_15 fleet'!$D185)*'Light Vehicle Supporting Data'!F$194</f>
        <v>53</v>
      </c>
      <c r="G161" s="43">
        <f>('[4]15_16 fleet'!$D170+'[4]15_16 fleet'!$D185)*'Light Vehicle Supporting Data'!G$194</f>
        <v>57</v>
      </c>
      <c r="H161" s="43">
        <f>('[5]16_17 fleet_v2'!$D170+'[5]16_17 fleet_v2'!$D185)*'Light Vehicle Supporting Data'!H$194</f>
        <v>58</v>
      </c>
      <c r="I161" s="202">
        <f>('[6]17_18 fleet_v3'!$D171+'[6]17_18 fleet_v3'!$D186)*'Light Vehicle Supporting Data'!I$194</f>
        <v>60</v>
      </c>
      <c r="J161" s="202">
        <f t="shared" ref="J161:Q161" ca="1" si="103">$I161*(J141/$I141)</f>
        <v>68.182268990786</v>
      </c>
      <c r="K161" s="202">
        <f t="shared" ca="1" si="103"/>
        <v>330.41826597617609</v>
      </c>
      <c r="L161" s="202">
        <f t="shared" ca="1" si="103"/>
        <v>588.77672253811318</v>
      </c>
      <c r="M161" s="202">
        <f t="shared" ca="1" si="103"/>
        <v>834.61295408858007</v>
      </c>
      <c r="N161" s="202">
        <f t="shared" ca="1" si="103"/>
        <v>1068.0773402397958</v>
      </c>
      <c r="O161" s="167">
        <f t="shared" ca="1" si="103"/>
        <v>1287.4824062744999</v>
      </c>
      <c r="P161" s="167">
        <f t="shared" ca="1" si="103"/>
        <v>1492.1167656299449</v>
      </c>
      <c r="Q161" s="198">
        <f t="shared" ca="1" si="103"/>
        <v>1682.4341408280768</v>
      </c>
      <c r="R161" s="56"/>
    </row>
    <row r="162" spans="3:18" ht="15.5" x14ac:dyDescent="0.35">
      <c r="C162" s="24" t="s">
        <v>11</v>
      </c>
      <c r="D162" s="42">
        <f>('[1]12_13 fleet'!$D170+'[1]12_13 fleet'!$D185)*'Light Vehicle Supporting Data'!D$194</f>
        <v>372</v>
      </c>
      <c r="E162" s="43">
        <f>('[2]13_14 fleet'!$D171+'[2]13_14 fleet'!$D186)*'Light Vehicle Supporting Data'!E$194</f>
        <v>331</v>
      </c>
      <c r="F162" s="43">
        <f>('[3]14_15 fleet'!$D171+'[3]14_15 fleet'!$D186)*'Light Vehicle Supporting Data'!F$194</f>
        <v>343</v>
      </c>
      <c r="G162" s="43">
        <f>('[4]15_16 fleet'!$D171+'[4]15_16 fleet'!$D186)*'Light Vehicle Supporting Data'!G$194</f>
        <v>357</v>
      </c>
      <c r="H162" s="43">
        <f>('[5]16_17 fleet_v2'!$D171+'[5]16_17 fleet_v2'!$D186)*'Light Vehicle Supporting Data'!H$194</f>
        <v>397</v>
      </c>
      <c r="I162" s="202">
        <f>('[6]17_18 fleet_v3'!$D172+'[6]17_18 fleet_v3'!$D187)*'Light Vehicle Supporting Data'!I$194</f>
        <v>456</v>
      </c>
      <c r="J162" s="202">
        <f t="shared" ref="J162:Q162" ca="1" si="104">$I162*(J142/$I142)</f>
        <v>543.90780621143222</v>
      </c>
      <c r="K162" s="202">
        <f t="shared" ca="1" si="104"/>
        <v>3059.2594554018306</v>
      </c>
      <c r="L162" s="202">
        <f t="shared" ca="1" si="104"/>
        <v>5838.2386174293542</v>
      </c>
      <c r="M162" s="202">
        <f t="shared" ca="1" si="104"/>
        <v>8805.6332312912618</v>
      </c>
      <c r="N162" s="202">
        <f t="shared" ca="1" si="104"/>
        <v>11951.609775813296</v>
      </c>
      <c r="O162" s="167">
        <f t="shared" ca="1" si="104"/>
        <v>15282.775211032744</v>
      </c>
      <c r="P162" s="167">
        <f t="shared" ca="1" si="104"/>
        <v>18777.253017046354</v>
      </c>
      <c r="Q162" s="198">
        <f t="shared" ca="1" si="104"/>
        <v>22435.069558802723</v>
      </c>
      <c r="R162" s="56"/>
    </row>
    <row r="163" spans="3:18" ht="15.5" x14ac:dyDescent="0.35">
      <c r="C163" s="24" t="s">
        <v>12</v>
      </c>
      <c r="D163" s="42">
        <f>('[1]12_13 fleet'!$D171+'[1]12_13 fleet'!$D186)*'Light Vehicle Supporting Data'!D$194</f>
        <v>294</v>
      </c>
      <c r="E163" s="43">
        <f>('[2]13_14 fleet'!$D172+'[2]13_14 fleet'!$D187)*'Light Vehicle Supporting Data'!E$194</f>
        <v>309</v>
      </c>
      <c r="F163" s="43">
        <f>('[3]14_15 fleet'!$D172+'[3]14_15 fleet'!$D187)*'Light Vehicle Supporting Data'!F$194</f>
        <v>317</v>
      </c>
      <c r="G163" s="43">
        <f>('[4]15_16 fleet'!$D172+'[4]15_16 fleet'!$D187)*'Light Vehicle Supporting Data'!G$194</f>
        <v>334</v>
      </c>
      <c r="H163" s="43">
        <f>('[5]16_17 fleet_v2'!$D172+'[5]16_17 fleet_v2'!$D187)*'Light Vehicle Supporting Data'!H$194</f>
        <v>362</v>
      </c>
      <c r="I163" s="202">
        <f>('[6]17_18 fleet_v3'!$D173+'[6]17_18 fleet_v3'!$D188)*'Light Vehicle Supporting Data'!I$194</f>
        <v>409</v>
      </c>
      <c r="J163" s="202">
        <f t="shared" ref="J163:Q163" ca="1" si="105">$I163*(J143/$I143)</f>
        <v>487.46812294259024</v>
      </c>
      <c r="K163" s="202">
        <f t="shared" ca="1" si="105"/>
        <v>1890.2133165107339</v>
      </c>
      <c r="L163" s="202">
        <f t="shared" ca="1" si="105"/>
        <v>3425.2164423322774</v>
      </c>
      <c r="M163" s="202">
        <f t="shared" ca="1" si="105"/>
        <v>5049.0057939845719</v>
      </c>
      <c r="N163" s="202">
        <f t="shared" ca="1" si="105"/>
        <v>6760.3246334017122</v>
      </c>
      <c r="O163" s="167">
        <f t="shared" ca="1" si="105"/>
        <v>8550.6466712950078</v>
      </c>
      <c r="P163" s="167">
        <f t="shared" ca="1" si="105"/>
        <v>10414.199857747193</v>
      </c>
      <c r="Q163" s="198">
        <f t="shared" ca="1" si="105"/>
        <v>12350.133079197016</v>
      </c>
      <c r="R163" s="56"/>
    </row>
    <row r="164" spans="3:18" ht="16" thickBot="1" x14ac:dyDescent="0.4">
      <c r="C164" s="25" t="s">
        <v>13</v>
      </c>
      <c r="D164" s="45">
        <f>('[1]12_13 fleet'!$D172+'[1]12_13 fleet'!$D187)*'Light Vehicle Supporting Data'!D$194</f>
        <v>98</v>
      </c>
      <c r="E164" s="46">
        <f>('[2]13_14 fleet'!$D173+'[2]13_14 fleet'!$D188)*'Light Vehicle Supporting Data'!E$194</f>
        <v>95</v>
      </c>
      <c r="F164" s="46">
        <f>('[3]14_15 fleet'!$D173+'[3]14_15 fleet'!$D188)*'Light Vehicle Supporting Data'!F$194</f>
        <v>91</v>
      </c>
      <c r="G164" s="46">
        <f>('[4]15_16 fleet'!$D173+'[4]15_16 fleet'!$D188)*'Light Vehicle Supporting Data'!G$194</f>
        <v>97</v>
      </c>
      <c r="H164" s="46">
        <f>('[5]16_17 fleet_v2'!$D173+'[5]16_17 fleet_v2'!$D188)*'Light Vehicle Supporting Data'!H$194</f>
        <v>94</v>
      </c>
      <c r="I164" s="203">
        <f>('[6]17_18 fleet_v3'!$D174+'[6]17_18 fleet_v3'!$D189)*'Light Vehicle Supporting Data'!I$194</f>
        <v>92</v>
      </c>
      <c r="J164" s="203">
        <f t="shared" ref="J164:Q164" ca="1" si="106">$I164*(J144/$I144)</f>
        <v>105.07712638614687</v>
      </c>
      <c r="K164" s="203">
        <f t="shared" ca="1" si="106"/>
        <v>807.36633312080119</v>
      </c>
      <c r="L164" s="203">
        <f t="shared" ca="1" si="106"/>
        <v>1516.9389531691622</v>
      </c>
      <c r="M164" s="203">
        <f t="shared" ca="1" si="106"/>
        <v>2210.3017003551467</v>
      </c>
      <c r="N164" s="202">
        <f t="shared" ca="1" si="106"/>
        <v>2884.1162977137583</v>
      </c>
      <c r="O164" s="171">
        <f t="shared" ca="1" si="106"/>
        <v>3535.1869214920639</v>
      </c>
      <c r="P164" s="171">
        <f t="shared" ca="1" si="106"/>
        <v>4158.1356573569647</v>
      </c>
      <c r="Q164" s="199">
        <f t="shared" ca="1" si="106"/>
        <v>4752.6187444307016</v>
      </c>
      <c r="R164" s="56"/>
    </row>
    <row r="165" spans="3:18" ht="16.5" thickTop="1" thickBot="1" x14ac:dyDescent="0.4">
      <c r="C165" s="20" t="s">
        <v>24</v>
      </c>
      <c r="D165" s="48">
        <f t="shared" ref="D165:N165" si="107">SUM(D151:D164)</f>
        <v>2433</v>
      </c>
      <c r="E165" s="48">
        <f t="shared" si="107"/>
        <v>2426</v>
      </c>
      <c r="F165" s="48">
        <f t="shared" si="107"/>
        <v>2514</v>
      </c>
      <c r="G165" s="48">
        <f t="shared" si="107"/>
        <v>2607</v>
      </c>
      <c r="H165" s="48">
        <f t="shared" si="107"/>
        <v>2927</v>
      </c>
      <c r="I165" s="48">
        <f t="shared" si="107"/>
        <v>3118</v>
      </c>
      <c r="J165" s="48">
        <f t="shared" ca="1" si="107"/>
        <v>3684.1526173841207</v>
      </c>
      <c r="K165" s="48">
        <f t="shared" ca="1" si="107"/>
        <v>22059.88050164485</v>
      </c>
      <c r="L165" s="48">
        <f t="shared" ca="1" si="107"/>
        <v>41773.831110664636</v>
      </c>
      <c r="M165" s="48">
        <f t="shared" ca="1" si="107"/>
        <v>62222.394123656355</v>
      </c>
      <c r="N165" s="48">
        <f t="shared" ca="1" si="107"/>
        <v>83309.433165682029</v>
      </c>
      <c r="O165" s="62">
        <f t="shared" ref="O165:Q165" ca="1" si="108">SUM(O151:O164)</f>
        <v>104982.51710320626</v>
      </c>
      <c r="P165" s="62">
        <f t="shared" ca="1" si="108"/>
        <v>127100.59230208119</v>
      </c>
      <c r="Q165" s="63">
        <f t="shared" ca="1" si="108"/>
        <v>149639.1207767842</v>
      </c>
      <c r="R165" s="43"/>
    </row>
    <row r="166" spans="3:18" ht="16.5" thickTop="1" thickBot="1" x14ac:dyDescent="0.4">
      <c r="C166" s="31" t="s">
        <v>96</v>
      </c>
      <c r="D166" s="48">
        <f>SUM('[1]12_13 fleet'!$D$158:$D$172)+SUM('[1]12_13 fleet'!$D$173:$D$187)</f>
        <v>2433</v>
      </c>
      <c r="E166" s="48">
        <f>SUM('[2]13_14 fleet'!$D$159:$D$173)+SUM('[2]13_14 fleet'!$D$174:$D$188)</f>
        <v>2426</v>
      </c>
      <c r="F166" s="48">
        <f>SUM('[3]14_15 fleet'!$D$159:$D$173)+SUM('[3]14_15 fleet'!$D$174:$D$188)</f>
        <v>2514</v>
      </c>
      <c r="G166" s="48">
        <f>SUM('[4]15_16 fleet'!$D$159:$D$173)+SUM('[4]15_16 fleet'!$D$174:$D$188)</f>
        <v>2607</v>
      </c>
      <c r="H166" s="48">
        <f>SUM('[5]16_17 fleet_v2'!$D$159:$D$173)+SUM('[5]16_17 fleet_v2'!$D$174:$D$188)</f>
        <v>2927</v>
      </c>
      <c r="I166" s="48">
        <f>SUM('[6]17_18 fleet_v3'!$D$160:$D$174)+SUM('[6]17_18 fleet_v3'!$D$175:$D$189)</f>
        <v>3118</v>
      </c>
      <c r="J166" s="62"/>
      <c r="K166" s="62"/>
      <c r="L166" s="62"/>
      <c r="M166" s="62"/>
      <c r="N166" s="62"/>
      <c r="O166" s="62"/>
      <c r="P166" s="62"/>
      <c r="Q166" s="63"/>
      <c r="R166" s="56"/>
    </row>
    <row r="167" spans="3:18" ht="13" thickTop="1" x14ac:dyDescent="0.25"/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C3:Q29"/>
  <sheetViews>
    <sheetView zoomScale="90" zoomScaleNormal="90" workbookViewId="0">
      <selection activeCell="I46" sqref="I46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51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39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'Scaled 2012-13 Data'!$E6</f>
        <v>126.51769458108933</v>
      </c>
      <c r="E7" s="53">
        <f>'Scaled 2013-14 Data'!$E6</f>
        <v>135.67452055937187</v>
      </c>
      <c r="F7" s="53">
        <f>'Scaled 2014-15 Data'!$E6</f>
        <v>141.72576536799093</v>
      </c>
      <c r="G7" s="53">
        <f>'Scaled 2015-16 Data'!$E6</f>
        <v>145.12569054563383</v>
      </c>
      <c r="H7" s="53">
        <f>'Scaled 2016-17 Data'!$E6</f>
        <v>144.68127590537878</v>
      </c>
      <c r="I7" s="53">
        <f>'Scaled 2017-18 Data'!$E6</f>
        <v>152.84165002703716</v>
      </c>
      <c r="J7" s="53">
        <f>$I7*'Heavy Truck Supporting Data'!J7/'Heavy Truck Supporting Data'!$I7*('Heavy Truck Supporting Data'!$I$28/'Heavy Truck Supporting Data'!J$28)</f>
        <v>165.3120795522959</v>
      </c>
      <c r="K7" s="53">
        <f>$I7*'Heavy Truck Supporting Data'!K7/'Heavy Truck Supporting Data'!$I7*('Heavy Truck Supporting Data'!$I$28/'Heavy Truck Supporting Data'!K$28)</f>
        <v>171.38549630891973</v>
      </c>
      <c r="L7" s="53">
        <f>$I7*'Heavy Truck Supporting Data'!L7/'Heavy Truck Supporting Data'!$I7*('Heavy Truck Supporting Data'!$I$28/'Heavy Truck Supporting Data'!L$28)</f>
        <v>177.0594657096519</v>
      </c>
      <c r="M7" s="53">
        <f>$I7*'Heavy Truck Supporting Data'!M7/'Heavy Truck Supporting Data'!$I7*('Heavy Truck Supporting Data'!$I$28/'Heavy Truck Supporting Data'!M$28)</f>
        <v>175.16900985313052</v>
      </c>
      <c r="N7" s="53">
        <f>$I7*'Heavy Truck Supporting Data'!N7/'Heavy Truck Supporting Data'!$I7*('Heavy Truck Supporting Data'!$I$28/'Heavy Truck Supporting Data'!N$28)</f>
        <v>173.26427034901792</v>
      </c>
      <c r="O7" s="53">
        <f>$I7*'Heavy Truck Supporting Data'!O7/'Heavy Truck Supporting Data'!$I7*('Heavy Truck Supporting Data'!$I$28/'Heavy Truck Supporting Data'!O$28)</f>
        <v>176.24499474232783</v>
      </c>
      <c r="P7" s="53">
        <f>$I7*'Heavy Truck Supporting Data'!P7/'Heavy Truck Supporting Data'!$I7*('Heavy Truck Supporting Data'!$I$28/'Heavy Truck Supporting Data'!P$28)</f>
        <v>178.97378984093862</v>
      </c>
      <c r="Q7" s="54">
        <f>$I7*'Heavy Truck Supporting Data'!Q7/'Heavy Truck Supporting Data'!$I7*('Heavy Truck Supporting Data'!$I$28/'Heavy Truck Supporting Data'!Q$28)</f>
        <v>181.46125722587689</v>
      </c>
    </row>
    <row r="8" spans="3:17" ht="15.5" x14ac:dyDescent="0.35">
      <c r="C8" s="24" t="s">
        <v>1</v>
      </c>
      <c r="D8" s="55">
        <f>'Scaled 2012-13 Data'!E7</f>
        <v>642.75675605882645</v>
      </c>
      <c r="E8" s="56">
        <f>'Scaled 2013-14 Data'!$E7</f>
        <v>620.39545906303897</v>
      </c>
      <c r="F8" s="56">
        <f>'Scaled 2014-15 Data'!$E7</f>
        <v>621.32383738757562</v>
      </c>
      <c r="G8" s="56">
        <f>'Scaled 2015-16 Data'!$E7</f>
        <v>635.71847683363285</v>
      </c>
      <c r="H8" s="56">
        <f>'Scaled 2016-17 Data'!$E7</f>
        <v>661.10320489409708</v>
      </c>
      <c r="I8" s="56">
        <f>'Scaled 2017-18 Data'!$E7</f>
        <v>675.39688889813942</v>
      </c>
      <c r="J8" s="56">
        <f>$I8*'Heavy Truck Supporting Data'!J8/'Heavy Truck Supporting Data'!$I8*('Heavy Truck Supporting Data'!$I$28/'Heavy Truck Supporting Data'!J$28)</f>
        <v>743.58922239240826</v>
      </c>
      <c r="K8" s="56">
        <f>$I8*'Heavy Truck Supporting Data'!K8/'Heavy Truck Supporting Data'!$I8*('Heavy Truck Supporting Data'!$I$28/'Heavy Truck Supporting Data'!K$28)</f>
        <v>783.12848681983291</v>
      </c>
      <c r="L8" s="56">
        <f>$I8*'Heavy Truck Supporting Data'!L8/'Heavy Truck Supporting Data'!$I8*('Heavy Truck Supporting Data'!$I$28/'Heavy Truck Supporting Data'!L$28)</f>
        <v>820.2690357548488</v>
      </c>
      <c r="M8" s="56">
        <f>$I8*'Heavy Truck Supporting Data'!M8/'Heavy Truck Supporting Data'!$I8*('Heavy Truck Supporting Data'!$I$28/'Heavy Truck Supporting Data'!M$28)</f>
        <v>848.92377021859397</v>
      </c>
      <c r="N8" s="56">
        <f>$I8*'Heavy Truck Supporting Data'!N8/'Heavy Truck Supporting Data'!$I8*('Heavy Truck Supporting Data'!$I$28/'Heavy Truck Supporting Data'!N$28)</f>
        <v>875.66943230663765</v>
      </c>
      <c r="O8" s="56">
        <f>$I8*'Heavy Truck Supporting Data'!O8/'Heavy Truck Supporting Data'!$I8*('Heavy Truck Supporting Data'!$I$28/'Heavy Truck Supporting Data'!O$28)</f>
        <v>901.21333057692368</v>
      </c>
      <c r="P8" s="56">
        <f>$I8*'Heavy Truck Supporting Data'!P8/'Heavy Truck Supporting Data'!$I8*('Heavy Truck Supporting Data'!$I$28/'Heavy Truck Supporting Data'!P$28)</f>
        <v>924.96778600320522</v>
      </c>
      <c r="Q8" s="57">
        <f>$I8*'Heavy Truck Supporting Data'!Q8/'Heavy Truck Supporting Data'!$I8*('Heavy Truck Supporting Data'!$I$28/'Heavy Truck Supporting Data'!Q$28)</f>
        <v>947.00544911771487</v>
      </c>
    </row>
    <row r="9" spans="3:17" ht="15.5" x14ac:dyDescent="0.35">
      <c r="C9" s="24" t="s">
        <v>2</v>
      </c>
      <c r="D9" s="55">
        <f>'Scaled 2012-13 Data'!E8</f>
        <v>344.892919704458</v>
      </c>
      <c r="E9" s="56">
        <f>'Scaled 2013-14 Data'!$E8</f>
        <v>390.39041080250428</v>
      </c>
      <c r="F9" s="56">
        <f>'Scaled 2014-15 Data'!$E8</f>
        <v>406.30331344723265</v>
      </c>
      <c r="G9" s="56">
        <f>'Scaled 2015-16 Data'!$E8</f>
        <v>417.32085698264092</v>
      </c>
      <c r="H9" s="56">
        <f>'Scaled 2016-17 Data'!$E8</f>
        <v>433.93649280746615</v>
      </c>
      <c r="I9" s="56">
        <f>'Scaled 2017-18 Data'!$E8</f>
        <v>471.13710397466707</v>
      </c>
      <c r="J9" s="56">
        <f>$I9*'Heavy Truck Supporting Data'!J9/'Heavy Truck Supporting Data'!$I9*('Heavy Truck Supporting Data'!$I$28/'Heavy Truck Supporting Data'!J$28)</f>
        <v>508.67606247303064</v>
      </c>
      <c r="K9" s="56">
        <f>$I9*'Heavy Truck Supporting Data'!K9/'Heavy Truck Supporting Data'!$I9*('Heavy Truck Supporting Data'!$I$28/'Heavy Truck Supporting Data'!K$28)</f>
        <v>524.65840015238723</v>
      </c>
      <c r="L9" s="56">
        <f>$I9*'Heavy Truck Supporting Data'!L9/'Heavy Truck Supporting Data'!$I9*('Heavy Truck Supporting Data'!$I$28/'Heavy Truck Supporting Data'!L$28)</f>
        <v>539.54490431902332</v>
      </c>
      <c r="M9" s="56">
        <f>$I9*'Heavy Truck Supporting Data'!M9/'Heavy Truck Supporting Data'!$I9*('Heavy Truck Supporting Data'!$I$28/'Heavy Truck Supporting Data'!M$28)</f>
        <v>544.08523904687559</v>
      </c>
      <c r="N9" s="56">
        <f>$I9*'Heavy Truck Supporting Data'!N9/'Heavy Truck Supporting Data'!$I9*('Heavy Truck Supporting Data'!$I$28/'Heavy Truck Supporting Data'!N$28)</f>
        <v>548.07463287042447</v>
      </c>
      <c r="O9" s="56">
        <f>$I9*'Heavy Truck Supporting Data'!O9/'Heavy Truck Supporting Data'!$I9*('Heavy Truck Supporting Data'!$I$28/'Heavy Truck Supporting Data'!O$28)</f>
        <v>551.6011161354819</v>
      </c>
      <c r="P9" s="56">
        <f>$I9*'Heavy Truck Supporting Data'!P9/'Heavy Truck Supporting Data'!$I9*('Heavy Truck Supporting Data'!$I$28/'Heavy Truck Supporting Data'!P$28)</f>
        <v>554.62142529679647</v>
      </c>
      <c r="Q9" s="57">
        <f>$I9*'Heavy Truck Supporting Data'!Q9/'Heavy Truck Supporting Data'!$I9*('Heavy Truck Supporting Data'!$I$28/'Heavy Truck Supporting Data'!Q$28)</f>
        <v>557.15835463533222</v>
      </c>
    </row>
    <row r="10" spans="3:17" ht="15.5" x14ac:dyDescent="0.35">
      <c r="C10" s="24" t="s">
        <v>3</v>
      </c>
      <c r="D10" s="55">
        <f>'Scaled 2012-13 Data'!E9</f>
        <v>214.15647055925635</v>
      </c>
      <c r="E10" s="56">
        <f>'Scaled 2013-14 Data'!$E9</f>
        <v>223.73085009383851</v>
      </c>
      <c r="F10" s="56">
        <f>'Scaled 2014-15 Data'!$E9</f>
        <v>227.06239639810516</v>
      </c>
      <c r="G10" s="56">
        <f>'Scaled 2015-16 Data'!$E9</f>
        <v>229.06209102137444</v>
      </c>
      <c r="H10" s="56">
        <f>'Scaled 2016-17 Data'!$E9</f>
        <v>260.02752815483871</v>
      </c>
      <c r="I10" s="56">
        <f>'Scaled 2017-18 Data'!$E9</f>
        <v>269.99541385557558</v>
      </c>
      <c r="J10" s="56">
        <f>$I10*'Heavy Truck Supporting Data'!J10/'Heavy Truck Supporting Data'!$I10*('Heavy Truck Supporting Data'!$I$28/'Heavy Truck Supporting Data'!J$28)</f>
        <v>292.8309328140362</v>
      </c>
      <c r="K10" s="56">
        <f>$I10*'Heavy Truck Supporting Data'!K10/'Heavy Truck Supporting Data'!$I10*('Heavy Truck Supporting Data'!$I$28/'Heavy Truck Supporting Data'!K$28)</f>
        <v>297.96143785141544</v>
      </c>
      <c r="L10" s="56">
        <f>$I10*'Heavy Truck Supporting Data'!L10/'Heavy Truck Supporting Data'!$I10*('Heavy Truck Supporting Data'!$I$28/'Heavy Truck Supporting Data'!L$28)</f>
        <v>302.66158866024648</v>
      </c>
      <c r="M10" s="56">
        <f>$I10*'Heavy Truck Supporting Data'!M10/'Heavy Truck Supporting Data'!$I10*('Heavy Truck Supporting Data'!$I$28/'Heavy Truck Supporting Data'!M$28)</f>
        <v>296.52013038332115</v>
      </c>
      <c r="N10" s="56">
        <f>$I10*'Heavy Truck Supporting Data'!N10/'Heavy Truck Supporting Data'!$I10*('Heavy Truck Supporting Data'!$I$28/'Heavy Truck Supporting Data'!N$28)</f>
        <v>290.49759640832934</v>
      </c>
      <c r="O10" s="56">
        <f>$I10*'Heavy Truck Supporting Data'!O10/'Heavy Truck Supporting Data'!$I10*('Heavy Truck Supporting Data'!$I$28/'Heavy Truck Supporting Data'!O$28)</f>
        <v>290.74487932623066</v>
      </c>
      <c r="P10" s="56">
        <f>$I10*'Heavy Truck Supporting Data'!P10/'Heavy Truck Supporting Data'!$I10*('Heavy Truck Supporting Data'!$I$28/'Heavy Truck Supporting Data'!P$28)</f>
        <v>290.80376442083707</v>
      </c>
      <c r="Q10" s="57">
        <f>$I10*'Heavy Truck Supporting Data'!Q10/'Heavy Truck Supporting Data'!$I10*('Heavy Truck Supporting Data'!$I$28/'Heavy Truck Supporting Data'!Q$28)</f>
        <v>290.68338191428751</v>
      </c>
    </row>
    <row r="11" spans="3:17" ht="15.5" x14ac:dyDescent="0.35">
      <c r="C11" s="24" t="s">
        <v>4</v>
      </c>
      <c r="D11" s="55">
        <f>'Scaled 2012-13 Data'!E10</f>
        <v>33.915973005218945</v>
      </c>
      <c r="E11" s="56">
        <f>'Scaled 2013-14 Data'!$E10</f>
        <v>36.059626125440786</v>
      </c>
      <c r="F11" s="56">
        <f>'Scaled 2014-15 Data'!$E10</f>
        <v>36.934309376738085</v>
      </c>
      <c r="G11" s="56">
        <f>'Scaled 2015-16 Data'!$E10</f>
        <v>34.474453336572367</v>
      </c>
      <c r="H11" s="56">
        <f>'Scaled 2016-17 Data'!$E10</f>
        <v>37.903907769942656</v>
      </c>
      <c r="I11" s="56">
        <f>'Scaled 2017-18 Data'!$E10</f>
        <v>31.123110973246689</v>
      </c>
      <c r="J11" s="56">
        <f>$I11*'Heavy Truck Supporting Data'!J11/'Heavy Truck Supporting Data'!$I11*('Heavy Truck Supporting Data'!$I$28/'Heavy Truck Supporting Data'!J$28)</f>
        <v>36.014956277059618</v>
      </c>
      <c r="K11" s="56">
        <f>$I11*'Heavy Truck Supporting Data'!K11/'Heavy Truck Supporting Data'!$I11*('Heavy Truck Supporting Data'!$I$28/'Heavy Truck Supporting Data'!K$28)</f>
        <v>35.947435185615589</v>
      </c>
      <c r="L11" s="56">
        <f>$I11*'Heavy Truck Supporting Data'!L11/'Heavy Truck Supporting Data'!$I11*('Heavy Truck Supporting Data'!$I$28/'Heavy Truck Supporting Data'!L$28)</f>
        <v>35.861393277168148</v>
      </c>
      <c r="M11" s="56">
        <f>$I11*'Heavy Truck Supporting Data'!M11/'Heavy Truck Supporting Data'!$I11*('Heavy Truck Supporting Data'!$I$28/'Heavy Truck Supporting Data'!M$28)</f>
        <v>32.340271289063452</v>
      </c>
      <c r="N11" s="56">
        <f>$I11*'Heavy Truck Supporting Data'!N11/'Heavy Truck Supporting Data'!$I11*('Heavy Truck Supporting Data'!$I$28/'Heavy Truck Supporting Data'!N$28)</f>
        <v>28.97084139955734</v>
      </c>
      <c r="O11" s="56">
        <f>$I11*'Heavy Truck Supporting Data'!O11/'Heavy Truck Supporting Data'!$I11*('Heavy Truck Supporting Data'!$I$28/'Heavy Truck Supporting Data'!O$28)</f>
        <v>28.569544517898127</v>
      </c>
      <c r="P11" s="56">
        <f>$I11*'Heavy Truck Supporting Data'!P11/'Heavy Truck Supporting Data'!$I11*('Heavy Truck Supporting Data'!$I$28/'Heavy Truck Supporting Data'!P$28)</f>
        <v>28.17044115659661</v>
      </c>
      <c r="Q11" s="57">
        <f>$I11*'Heavy Truck Supporting Data'!Q11/'Heavy Truck Supporting Data'!$I11*('Heavy Truck Supporting Data'!$I$28/'Heavy Truck Supporting Data'!Q$28)</f>
        <v>27.77366669405647</v>
      </c>
    </row>
    <row r="12" spans="3:17" ht="15.5" x14ac:dyDescent="0.35">
      <c r="C12" s="24" t="s">
        <v>5</v>
      </c>
      <c r="D12" s="55">
        <f>'Scaled 2012-13 Data'!E11</f>
        <v>105.40675076508299</v>
      </c>
      <c r="E12" s="56">
        <f>'Scaled 2013-14 Data'!$E11</f>
        <v>106.76392106951823</v>
      </c>
      <c r="F12" s="56">
        <f>'Scaled 2014-15 Data'!$E11</f>
        <v>110.27688080452752</v>
      </c>
      <c r="G12" s="56">
        <f>'Scaled 2015-16 Data'!$E11</f>
        <v>111.58416614165577</v>
      </c>
      <c r="H12" s="56">
        <f>'Scaled 2016-17 Data'!$E11</f>
        <v>118.48078788976672</v>
      </c>
      <c r="I12" s="56">
        <f>'Scaled 2017-18 Data'!$E11</f>
        <v>114.7473871751812</v>
      </c>
      <c r="J12" s="56">
        <f>$I12*'Heavy Truck Supporting Data'!J12/'Heavy Truck Supporting Data'!$I12*('Heavy Truck Supporting Data'!$I$28/'Heavy Truck Supporting Data'!J$28)</f>
        <v>130.69859339428663</v>
      </c>
      <c r="K12" s="56">
        <f>$I12*'Heavy Truck Supporting Data'!K12/'Heavy Truck Supporting Data'!$I12*('Heavy Truck Supporting Data'!$I$28/'Heavy Truck Supporting Data'!K$28)</f>
        <v>133.13445662336596</v>
      </c>
      <c r="L12" s="56">
        <f>$I12*'Heavy Truck Supporting Data'!L12/'Heavy Truck Supporting Data'!$I12*('Heavy Truck Supporting Data'!$I$28/'Heavy Truck Supporting Data'!L$28)</f>
        <v>135.3710501992968</v>
      </c>
      <c r="M12" s="56">
        <f>$I12*'Heavy Truck Supporting Data'!M12/'Heavy Truck Supporting Data'!$I12*('Heavy Truck Supporting Data'!$I$28/'Heavy Truck Supporting Data'!M$28)</f>
        <v>129.15107198577689</v>
      </c>
      <c r="N12" s="56">
        <f>$I12*'Heavy Truck Supporting Data'!N12/'Heavy Truck Supporting Data'!$I12*('Heavy Truck Supporting Data'!$I$28/'Heavy Truck Supporting Data'!N$28)</f>
        <v>123.15536496726259</v>
      </c>
      <c r="O12" s="56">
        <f>$I12*'Heavy Truck Supporting Data'!O12/'Heavy Truck Supporting Data'!$I12*('Heavy Truck Supporting Data'!$I$28/'Heavy Truck Supporting Data'!O$28)</f>
        <v>122.2938185819485</v>
      </c>
      <c r="P12" s="56">
        <f>$I12*'Heavy Truck Supporting Data'!P12/'Heavy Truck Supporting Data'!$I12*('Heavy Truck Supporting Data'!$I$28/'Heavy Truck Supporting Data'!P$28)</f>
        <v>121.40000428574444</v>
      </c>
      <c r="Q12" s="57">
        <f>$I12*'Heavy Truck Supporting Data'!Q12/'Heavy Truck Supporting Data'!$I12*('Heavy Truck Supporting Data'!$I$28/'Heavy Truck Supporting Data'!Q$28)</f>
        <v>120.47603417027145</v>
      </c>
    </row>
    <row r="13" spans="3:17" ht="15.5" x14ac:dyDescent="0.35">
      <c r="C13" s="24" t="s">
        <v>6</v>
      </c>
      <c r="D13" s="55">
        <f>'Scaled 2012-13 Data'!E12</f>
        <v>84.096097549876319</v>
      </c>
      <c r="E13" s="56">
        <f>'Scaled 2013-14 Data'!$E12</f>
        <v>87.906568292027828</v>
      </c>
      <c r="F13" s="56">
        <f>'Scaled 2014-15 Data'!$E12</f>
        <v>95.017511822066183</v>
      </c>
      <c r="G13" s="56">
        <f>'Scaled 2015-16 Data'!$E12</f>
        <v>97.182869967109781</v>
      </c>
      <c r="H13" s="56">
        <f>'Scaled 2016-17 Data'!$E12</f>
        <v>95.754915641963777</v>
      </c>
      <c r="I13" s="56">
        <f>'Scaled 2017-18 Data'!$E12</f>
        <v>100.47075899772253</v>
      </c>
      <c r="J13" s="56">
        <f>$I13*'Heavy Truck Supporting Data'!J13/'Heavy Truck Supporting Data'!$I13*('Heavy Truck Supporting Data'!$I$28/'Heavy Truck Supporting Data'!J$28)</f>
        <v>107.69733280129107</v>
      </c>
      <c r="K13" s="56">
        <f>$I13*'Heavy Truck Supporting Data'!K13/'Heavy Truck Supporting Data'!$I13*('Heavy Truck Supporting Data'!$I$28/'Heavy Truck Supporting Data'!K$28)</f>
        <v>109.50770297386153</v>
      </c>
      <c r="L13" s="56">
        <f>$I13*'Heavy Truck Supporting Data'!L13/'Heavy Truck Supporting Data'!$I13*('Heavy Truck Supporting Data'!$I$28/'Heavy Truck Supporting Data'!L$28)</f>
        <v>111.16356710129168</v>
      </c>
      <c r="M13" s="56">
        <f>$I13*'Heavy Truck Supporting Data'!M13/'Heavy Truck Supporting Data'!$I13*('Heavy Truck Supporting Data'!$I$28/'Heavy Truck Supporting Data'!M$28)</f>
        <v>111.0017143698764</v>
      </c>
      <c r="N13" s="56">
        <f>$I13*'Heavy Truck Supporting Data'!N13/'Heavy Truck Supporting Data'!$I13*('Heavy Truck Supporting Data'!$I$28/'Heavy Truck Supporting Data'!N$28)</f>
        <v>110.78040202575147</v>
      </c>
      <c r="O13" s="56">
        <f>$I13*'Heavy Truck Supporting Data'!O13/'Heavy Truck Supporting Data'!$I13*('Heavy Truck Supporting Data'!$I$28/'Heavy Truck Supporting Data'!O$28)</f>
        <v>110.31276046018115</v>
      </c>
      <c r="P13" s="56">
        <f>$I13*'Heavy Truck Supporting Data'!P13/'Heavy Truck Supporting Data'!$I13*('Heavy Truck Supporting Data'!$I$28/'Heavy Truck Supporting Data'!P$28)</f>
        <v>109.80095446057666</v>
      </c>
      <c r="Q13" s="57">
        <f>$I13*'Heavy Truck Supporting Data'!Q13/'Heavy Truck Supporting Data'!$I13*('Heavy Truck Supporting Data'!$I$28/'Heavy Truck Supporting Data'!Q$28)</f>
        <v>109.24744318115653</v>
      </c>
    </row>
    <row r="14" spans="3:17" ht="15.5" x14ac:dyDescent="0.35">
      <c r="C14" s="24" t="s">
        <v>7</v>
      </c>
      <c r="D14" s="55">
        <f>'Scaled 2012-13 Data'!E13</f>
        <v>189.52653351064563</v>
      </c>
      <c r="E14" s="56">
        <f>'Scaled 2013-14 Data'!$E13</f>
        <v>192.89161165616255</v>
      </c>
      <c r="F14" s="56">
        <f>'Scaled 2014-15 Data'!$E13</f>
        <v>199.05709684352797</v>
      </c>
      <c r="G14" s="56">
        <f>'Scaled 2015-16 Data'!$E13</f>
        <v>208.5474490765514</v>
      </c>
      <c r="H14" s="56">
        <f>'Scaled 2016-17 Data'!$E13</f>
        <v>210.09530635285617</v>
      </c>
      <c r="I14" s="56">
        <f>'Scaled 2017-18 Data'!$E13</f>
        <v>225.54308306091897</v>
      </c>
      <c r="J14" s="56">
        <f>$I14*'Heavy Truck Supporting Data'!J14/'Heavy Truck Supporting Data'!$I14*('Heavy Truck Supporting Data'!$I$28/'Heavy Truck Supporting Data'!J$28)</f>
        <v>246.57684282241956</v>
      </c>
      <c r="K14" s="56">
        <f>$I14*'Heavy Truck Supporting Data'!K14/'Heavy Truck Supporting Data'!$I14*('Heavy Truck Supporting Data'!$I$28/'Heavy Truck Supporting Data'!K$28)</f>
        <v>253.15992955515057</v>
      </c>
      <c r="L14" s="56">
        <f>$I14*'Heavy Truck Supporting Data'!L14/'Heavy Truck Supporting Data'!$I14*('Heavy Truck Supporting Data'!$I$28/'Heavy Truck Supporting Data'!L$28)</f>
        <v>259.26916774165807</v>
      </c>
      <c r="M14" s="56">
        <f>$I14*'Heavy Truck Supporting Data'!M14/'Heavy Truck Supporting Data'!$I14*('Heavy Truck Supporting Data'!$I$28/'Heavy Truck Supporting Data'!M$28)</f>
        <v>259.4058509663335</v>
      </c>
      <c r="N14" s="56">
        <f>$I14*'Heavy Truck Supporting Data'!N14/'Heavy Truck Supporting Data'!$I14*('Heavy Truck Supporting Data'!$I$28/'Heavy Truck Supporting Data'!N$28)</f>
        <v>259.37852764978811</v>
      </c>
      <c r="O14" s="56">
        <f>$I14*'Heavy Truck Supporting Data'!O14/'Heavy Truck Supporting Data'!$I14*('Heavy Truck Supporting Data'!$I$28/'Heavy Truck Supporting Data'!O$28)</f>
        <v>257.92410136168957</v>
      </c>
      <c r="P14" s="56">
        <f>$I14*'Heavy Truck Supporting Data'!P14/'Heavy Truck Supporting Data'!$I14*('Heavy Truck Supporting Data'!$I$28/'Heavy Truck Supporting Data'!P$28)</f>
        <v>256.38397812194791</v>
      </c>
      <c r="Q14" s="57">
        <f>$I14*'Heavy Truck Supporting Data'!Q14/'Heavy Truck Supporting Data'!$I14*('Heavy Truck Supporting Data'!$I$28/'Heavy Truck Supporting Data'!Q$28)</f>
        <v>254.76326150861885</v>
      </c>
    </row>
    <row r="15" spans="3:17" ht="15.5" x14ac:dyDescent="0.35">
      <c r="C15" s="24" t="s">
        <v>8</v>
      </c>
      <c r="D15" s="55">
        <f>'Scaled 2012-13 Data'!E14</f>
        <v>129.41036193266035</v>
      </c>
      <c r="E15" s="56">
        <f>'Scaled 2013-14 Data'!$E14</f>
        <v>133.77417405686103</v>
      </c>
      <c r="F15" s="56">
        <f>'Scaled 2014-15 Data'!$E14</f>
        <v>146.71155515151918</v>
      </c>
      <c r="G15" s="56">
        <f>'Scaled 2015-16 Data'!$E14</f>
        <v>144.43275007217164</v>
      </c>
      <c r="H15" s="56">
        <f>'Scaled 2016-17 Data'!$E14</f>
        <v>145.99577978492675</v>
      </c>
      <c r="I15" s="56">
        <f>'Scaled 2017-18 Data'!$E14</f>
        <v>168.49557106203835</v>
      </c>
      <c r="J15" s="56">
        <f>$I15*'Heavy Truck Supporting Data'!J15/'Heavy Truck Supporting Data'!$I15*('Heavy Truck Supporting Data'!$I$28/'Heavy Truck Supporting Data'!J$28)</f>
        <v>185.46678997523532</v>
      </c>
      <c r="K15" s="56">
        <f>$I15*'Heavy Truck Supporting Data'!K15/'Heavy Truck Supporting Data'!$I15*('Heavy Truck Supporting Data'!$I$28/'Heavy Truck Supporting Data'!K$28)</f>
        <v>191.93413843377559</v>
      </c>
      <c r="L15" s="56">
        <f>$I15*'Heavy Truck Supporting Data'!L15/'Heavy Truck Supporting Data'!$I15*('Heavy Truck Supporting Data'!$I$28/'Heavy Truck Supporting Data'!L$28)</f>
        <v>197.97040905986478</v>
      </c>
      <c r="M15" s="56">
        <f>$I15*'Heavy Truck Supporting Data'!M15/'Heavy Truck Supporting Data'!$I15*('Heavy Truck Supporting Data'!$I$28/'Heavy Truck Supporting Data'!M$28)</f>
        <v>200.35495861830452</v>
      </c>
      <c r="N15" s="56">
        <f>$I15*'Heavy Truck Supporting Data'!N15/'Heavy Truck Supporting Data'!$I15*('Heavy Truck Supporting Data'!$I$28/'Heavy Truck Supporting Data'!N$28)</f>
        <v>202.50195881549291</v>
      </c>
      <c r="O15" s="56">
        <f>$I15*'Heavy Truck Supporting Data'!O15/'Heavy Truck Supporting Data'!$I15*('Heavy Truck Supporting Data'!$I$28/'Heavy Truck Supporting Data'!O$28)</f>
        <v>203.60402579784449</v>
      </c>
      <c r="P15" s="56">
        <f>$I15*'Heavy Truck Supporting Data'!P15/'Heavy Truck Supporting Data'!$I15*('Heavy Truck Supporting Data'!$I$28/'Heavy Truck Supporting Data'!P$28)</f>
        <v>204.52896794021996</v>
      </c>
      <c r="Q15" s="57">
        <f>$I15*'Heavy Truck Supporting Data'!Q15/'Heavy Truck Supporting Data'!$I15*('Heavy Truck Supporting Data'!$I$28/'Heavy Truck Supporting Data'!Q$28)</f>
        <v>205.28484165725587</v>
      </c>
    </row>
    <row r="16" spans="3:17" ht="15.5" x14ac:dyDescent="0.35">
      <c r="C16" s="24" t="s">
        <v>9</v>
      </c>
      <c r="D16" s="55">
        <f>'Scaled 2012-13 Data'!E15</f>
        <v>97.700150458941565</v>
      </c>
      <c r="E16" s="56">
        <f>'Scaled 2013-14 Data'!$E15</f>
        <v>101.2492551025969</v>
      </c>
      <c r="F16" s="56">
        <f>'Scaled 2014-15 Data'!$E15</f>
        <v>94.411223487199464</v>
      </c>
      <c r="G16" s="56">
        <f>'Scaled 2015-16 Data'!$E15</f>
        <v>102.53476450188491</v>
      </c>
      <c r="H16" s="56">
        <f>'Scaled 2016-17 Data'!$E15</f>
        <v>107.78043224530198</v>
      </c>
      <c r="I16" s="56">
        <f>'Scaled 2017-18 Data'!$E15</f>
        <v>106.80888803286599</v>
      </c>
      <c r="J16" s="56">
        <f>$I16*'Heavy Truck Supporting Data'!J16/'Heavy Truck Supporting Data'!$I16*('Heavy Truck Supporting Data'!$I$28/'Heavy Truck Supporting Data'!J$28)</f>
        <v>114.76812636856013</v>
      </c>
      <c r="K16" s="56">
        <f>$I16*'Heavy Truck Supporting Data'!K16/'Heavy Truck Supporting Data'!$I16*('Heavy Truck Supporting Data'!$I$28/'Heavy Truck Supporting Data'!K$28)</f>
        <v>118.99001126446272</v>
      </c>
      <c r="L16" s="56">
        <f>$I16*'Heavy Truck Supporting Data'!L16/'Heavy Truck Supporting Data'!$I16*('Heavy Truck Supporting Data'!$I$28/'Heavy Truck Supporting Data'!L$28)</f>
        <v>122.93431295197243</v>
      </c>
      <c r="M16" s="56">
        <f>$I16*'Heavy Truck Supporting Data'!M16/'Heavy Truck Supporting Data'!$I16*('Heavy Truck Supporting Data'!$I$28/'Heavy Truck Supporting Data'!M$28)</f>
        <v>121.26400678846633</v>
      </c>
      <c r="N16" s="56">
        <f>$I16*'Heavy Truck Supporting Data'!N16/'Heavy Truck Supporting Data'!$I16*('Heavy Truck Supporting Data'!$I$28/'Heavy Truck Supporting Data'!N$28)</f>
        <v>119.60140523069107</v>
      </c>
      <c r="O16" s="56">
        <f>$I16*'Heavy Truck Supporting Data'!O16/'Heavy Truck Supporting Data'!$I16*('Heavy Truck Supporting Data'!$I$28/'Heavy Truck Supporting Data'!O$28)</f>
        <v>119.4733931321865</v>
      </c>
      <c r="P16" s="56">
        <f>$I16*'Heavy Truck Supporting Data'!P16/'Heavy Truck Supporting Data'!$I16*('Heavy Truck Supporting Data'!$I$28/'Heavy Truck Supporting Data'!P$28)</f>
        <v>119.27913605046345</v>
      </c>
      <c r="Q16" s="57">
        <f>$I16*'Heavy Truck Supporting Data'!Q16/'Heavy Truck Supporting Data'!$I16*('Heavy Truck Supporting Data'!$I$28/'Heavy Truck Supporting Data'!Q$28)</f>
        <v>119.02197477749239</v>
      </c>
    </row>
    <row r="17" spans="3:17" ht="15.5" x14ac:dyDescent="0.35">
      <c r="C17" s="24" t="s">
        <v>10</v>
      </c>
      <c r="D17" s="55">
        <f>'Scaled 2012-13 Data'!E16</f>
        <v>43.405863172759247</v>
      </c>
      <c r="E17" s="56">
        <f>'Scaled 2013-14 Data'!$E16</f>
        <v>44.964471592553494</v>
      </c>
      <c r="F17" s="56">
        <f>'Scaled 2014-15 Data'!$E16</f>
        <v>51.199204018245595</v>
      </c>
      <c r="G17" s="56">
        <f>'Scaled 2015-16 Data'!$E16</f>
        <v>53.773933142395627</v>
      </c>
      <c r="H17" s="56">
        <f>'Scaled 2016-17 Data'!$E16</f>
        <v>55.38083484363041</v>
      </c>
      <c r="I17" s="56">
        <f>'Scaled 2017-18 Data'!$E16</f>
        <v>59.951318587317708</v>
      </c>
      <c r="J17" s="56">
        <f>$I17*'Heavy Truck Supporting Data'!J17/'Heavy Truck Supporting Data'!$I17*('Heavy Truck Supporting Data'!$I$28/'Heavy Truck Supporting Data'!J$28)</f>
        <v>62.401756408639024</v>
      </c>
      <c r="K17" s="56">
        <f>$I17*'Heavy Truck Supporting Data'!K17/'Heavy Truck Supporting Data'!$I17*('Heavy Truck Supporting Data'!$I$28/'Heavy Truck Supporting Data'!K$28)</f>
        <v>62.482502910118917</v>
      </c>
      <c r="L17" s="56">
        <f>$I17*'Heavy Truck Supporting Data'!L17/'Heavy Truck Supporting Data'!$I17*('Heavy Truck Supporting Data'!$I$28/'Heavy Truck Supporting Data'!L$28)</f>
        <v>62.521418793258427</v>
      </c>
      <c r="M17" s="56">
        <f>$I17*'Heavy Truck Supporting Data'!M17/'Heavy Truck Supporting Data'!$I17*('Heavy Truck Supporting Data'!$I$28/'Heavy Truck Supporting Data'!M$28)</f>
        <v>60.823985994776891</v>
      </c>
      <c r="N17" s="56">
        <f>$I17*'Heavy Truck Supporting Data'!N17/'Heavy Truck Supporting Data'!$I17*('Heavy Truck Supporting Data'!$I$28/'Heavy Truck Supporting Data'!N$28)</f>
        <v>59.17224072566659</v>
      </c>
      <c r="O17" s="56">
        <f>$I17*'Heavy Truck Supporting Data'!O17/'Heavy Truck Supporting Data'!$I17*('Heavy Truck Supporting Data'!$I$28/'Heavy Truck Supporting Data'!O$28)</f>
        <v>57.905667127573381</v>
      </c>
      <c r="P17" s="56">
        <f>$I17*'Heavy Truck Supporting Data'!P17/'Heavy Truck Supporting Data'!$I17*('Heavy Truck Supporting Data'!$I$28/'Heavy Truck Supporting Data'!P$28)</f>
        <v>56.665589135313638</v>
      </c>
      <c r="Q17" s="57">
        <f>$I17*'Heavy Truck Supporting Data'!Q17/'Heavy Truck Supporting Data'!$I17*('Heavy Truck Supporting Data'!$I$28/'Heavy Truck Supporting Data'!Q$28)</f>
        <v>55.451469919343033</v>
      </c>
    </row>
    <row r="18" spans="3:17" ht="15.5" x14ac:dyDescent="0.35">
      <c r="C18" s="24" t="s">
        <v>11</v>
      </c>
      <c r="D18" s="55">
        <f>'Scaled 2012-13 Data'!E17</f>
        <v>381.81723753110873</v>
      </c>
      <c r="E18" s="56">
        <f>'Scaled 2013-14 Data'!$E17</f>
        <v>410.17269428376483</v>
      </c>
      <c r="F18" s="56">
        <f>'Scaled 2014-15 Data'!$E17</f>
        <v>432.02884000366595</v>
      </c>
      <c r="G18" s="56">
        <f>'Scaled 2015-16 Data'!$E17</f>
        <v>444.15135276672709</v>
      </c>
      <c r="H18" s="56">
        <f>'Scaled 2016-17 Data'!$E17</f>
        <v>438.52715852727829</v>
      </c>
      <c r="I18" s="56">
        <f>'Scaled 2017-18 Data'!$E17</f>
        <v>456.16902527493852</v>
      </c>
      <c r="J18" s="56">
        <f>$I18*'Heavy Truck Supporting Data'!J18/'Heavy Truck Supporting Data'!$I18*('Heavy Truck Supporting Data'!$I$28/'Heavy Truck Supporting Data'!J$28)</f>
        <v>501.64437680497252</v>
      </c>
      <c r="K18" s="56">
        <f>$I18*'Heavy Truck Supporting Data'!K18/'Heavy Truck Supporting Data'!$I18*('Heavy Truck Supporting Data'!$I$28/'Heavy Truck Supporting Data'!K$28)</f>
        <v>523.488006122554</v>
      </c>
      <c r="L18" s="56">
        <f>$I18*'Heavy Truck Supporting Data'!L18/'Heavy Truck Supporting Data'!$I18*('Heavy Truck Supporting Data'!$I$28/'Heavy Truck Supporting Data'!L$28)</f>
        <v>543.9513479847077</v>
      </c>
      <c r="M18" s="56">
        <f>$I18*'Heavy Truck Supporting Data'!M18/'Heavy Truck Supporting Data'!$I18*('Heavy Truck Supporting Data'!$I$28/'Heavy Truck Supporting Data'!M$28)</f>
        <v>558.37389979869181</v>
      </c>
      <c r="N18" s="56">
        <f>$I18*'Heavy Truck Supporting Data'!N18/'Heavy Truck Supporting Data'!$I18*('Heavy Truck Supporting Data'!$I$28/'Heavy Truck Supporting Data'!N$28)</f>
        <v>571.75605293820502</v>
      </c>
      <c r="O18" s="56">
        <f>$I18*'Heavy Truck Supporting Data'!O18/'Heavy Truck Supporting Data'!$I18*('Heavy Truck Supporting Data'!$I$28/'Heavy Truck Supporting Data'!O$28)</f>
        <v>575.25263231576946</v>
      </c>
      <c r="P18" s="56">
        <f>$I18*'Heavy Truck Supporting Data'!P18/'Heavy Truck Supporting Data'!$I18*('Heavy Truck Supporting Data'!$I$28/'Heavy Truck Supporting Data'!P$28)</f>
        <v>578.23014537151994</v>
      </c>
      <c r="Q18" s="57">
        <f>$I18*'Heavy Truck Supporting Data'!Q18/'Heavy Truck Supporting Data'!$I18*('Heavy Truck Supporting Data'!$I$28/'Heavy Truck Supporting Data'!Q$28)</f>
        <v>580.71203957966702</v>
      </c>
    </row>
    <row r="19" spans="3:17" ht="15.5" x14ac:dyDescent="0.35">
      <c r="C19" s="24" t="s">
        <v>12</v>
      </c>
      <c r="D19" s="55">
        <f>'Scaled 2012-13 Data'!E18</f>
        <v>135.01202074409633</v>
      </c>
      <c r="E19" s="56">
        <f>'Scaled 2013-14 Data'!$E18</f>
        <v>139.58455031725936</v>
      </c>
      <c r="F19" s="56">
        <f>'Scaled 2014-15 Data'!$E18</f>
        <v>147.91666617185348</v>
      </c>
      <c r="G19" s="56">
        <f>'Scaled 2015-16 Data'!$E18</f>
        <v>149.29002963131651</v>
      </c>
      <c r="H19" s="56">
        <f>'Scaled 2016-17 Data'!$E18</f>
        <v>150.45720998322528</v>
      </c>
      <c r="I19" s="56">
        <f>'Scaled 2017-18 Data'!$E18</f>
        <v>180.6775115923906</v>
      </c>
      <c r="J19" s="56">
        <f>$I19*'Heavy Truck Supporting Data'!J19/'Heavy Truck Supporting Data'!$I19*('Heavy Truck Supporting Data'!$I$28/'Heavy Truck Supporting Data'!J$28)</f>
        <v>201.40983127052516</v>
      </c>
      <c r="K19" s="56">
        <f>$I19*'Heavy Truck Supporting Data'!K19/'Heavy Truck Supporting Data'!$I19*('Heavy Truck Supporting Data'!$I$28/'Heavy Truck Supporting Data'!K$28)</f>
        <v>208.17160616018219</v>
      </c>
      <c r="L19" s="56">
        <f>$I19*'Heavy Truck Supporting Data'!L19/'Heavy Truck Supporting Data'!$I19*('Heavy Truck Supporting Data'!$I$28/'Heavy Truck Supporting Data'!L$28)</f>
        <v>214.47812905270058</v>
      </c>
      <c r="M19" s="56">
        <f>$I19*'Heavy Truck Supporting Data'!M19/'Heavy Truck Supporting Data'!$I19*('Heavy Truck Supporting Data'!$I$28/'Heavy Truck Supporting Data'!M$28)</f>
        <v>216.52934084689073</v>
      </c>
      <c r="N19" s="56">
        <f>$I19*'Heavy Truck Supporting Data'!N19/'Heavy Truck Supporting Data'!$I19*('Heavy Truck Supporting Data'!$I$28/'Heavy Truck Supporting Data'!N$28)</f>
        <v>218.34940940391769</v>
      </c>
      <c r="O19" s="56">
        <f>$I19*'Heavy Truck Supporting Data'!O19/'Heavy Truck Supporting Data'!$I19*('Heavy Truck Supporting Data'!$I$28/'Heavy Truck Supporting Data'!O$28)</f>
        <v>220.8830833252527</v>
      </c>
      <c r="P19" s="56">
        <f>$I19*'Heavy Truck Supporting Data'!P19/'Heavy Truck Supporting Data'!$I19*('Heavy Truck Supporting Data'!$I$28/'Heavy Truck Supporting Data'!P$28)</f>
        <v>223.15950023590028</v>
      </c>
      <c r="Q19" s="57">
        <f>$I19*'Heavy Truck Supporting Data'!Q19/'Heavy Truck Supporting Data'!$I19*('Heavy Truck Supporting Data'!$I$28/'Heavy Truck Supporting Data'!Q$28)</f>
        <v>225.18979533564931</v>
      </c>
    </row>
    <row r="20" spans="3:17" ht="16" thickBot="1" x14ac:dyDescent="0.4">
      <c r="C20" s="25" t="s">
        <v>13</v>
      </c>
      <c r="D20" s="58">
        <f>'Scaled 2012-13 Data'!E19</f>
        <v>96.966901647804377</v>
      </c>
      <c r="E20" s="59">
        <f>'Scaled 2013-14 Data'!$E19</f>
        <v>101.5350793421801</v>
      </c>
      <c r="F20" s="59">
        <f>'Scaled 2014-15 Data'!$E19</f>
        <v>101.18252022580538</v>
      </c>
      <c r="G20" s="59">
        <f>'Scaled 2015-16 Data'!$E19</f>
        <v>113.26364560172489</v>
      </c>
      <c r="H20" s="59">
        <f>'Scaled 2016-17 Data'!$E19</f>
        <v>114.5199435578987</v>
      </c>
      <c r="I20" s="59">
        <f>'Scaled 2017-18 Data'!$E19</f>
        <v>123.34530767264916</v>
      </c>
      <c r="J20" s="59">
        <f>$I20*'Heavy Truck Supporting Data'!J20/'Heavy Truck Supporting Data'!$I20*('Heavy Truck Supporting Data'!$I$28/'Heavy Truck Supporting Data'!J$28)</f>
        <v>134.27486873551163</v>
      </c>
      <c r="K20" s="59">
        <f>$I20*'Heavy Truck Supporting Data'!K20/'Heavy Truck Supporting Data'!$I20*('Heavy Truck Supporting Data'!$I$28/'Heavy Truck Supporting Data'!K$28)</f>
        <v>138.55568037439235</v>
      </c>
      <c r="L20" s="59">
        <f>$I20*'Heavy Truck Supporting Data'!L20/'Heavy Truck Supporting Data'!$I20*('Heavy Truck Supporting Data'!$I$28/'Heavy Truck Supporting Data'!L$28)</f>
        <v>142.54417328479036</v>
      </c>
      <c r="M20" s="59">
        <f>$I20*'Heavy Truck Supporting Data'!M20/'Heavy Truck Supporting Data'!$I20*('Heavy Truck Supporting Data'!$I$28/'Heavy Truck Supporting Data'!M$28)</f>
        <v>140.66266030955617</v>
      </c>
      <c r="N20" s="59">
        <f>$I20*'Heavy Truck Supporting Data'!N20/'Heavy Truck Supporting Data'!$I20*('Heavy Truck Supporting Data'!$I$28/'Heavy Truck Supporting Data'!N$28)</f>
        <v>138.78736028600696</v>
      </c>
      <c r="O20" s="59">
        <f>$I20*'Heavy Truck Supporting Data'!O20/'Heavy Truck Supporting Data'!$I20*('Heavy Truck Supporting Data'!$I$28/'Heavy Truck Supporting Data'!O$28)</f>
        <v>137.25806577614264</v>
      </c>
      <c r="P20" s="59">
        <f>$I20*'Heavy Truck Supporting Data'!P20/'Heavy Truck Supporting Data'!$I20*('Heavy Truck Supporting Data'!$I$28/'Heavy Truck Supporting Data'!P$28)</f>
        <v>135.7199133048824</v>
      </c>
      <c r="Q20" s="60">
        <f>$I20*'Heavy Truck Supporting Data'!Q20/'Heavy Truck Supporting Data'!$I20*('Heavy Truck Supporting Data'!$I$28/'Heavy Truck Supporting Data'!Q$28)</f>
        <v>134.17426687969578</v>
      </c>
    </row>
    <row r="21" spans="3:17" ht="17.25" customHeight="1" thickTop="1" thickBot="1" x14ac:dyDescent="0.4">
      <c r="C21" s="31" t="s">
        <v>24</v>
      </c>
      <c r="D21" s="61">
        <f t="shared" ref="D21:N21" si="0">SUM(D7:D20)</f>
        <v>2625.5817312218246</v>
      </c>
      <c r="E21" s="62">
        <f t="shared" si="0"/>
        <v>2725.0931923571188</v>
      </c>
      <c r="F21" s="62">
        <f t="shared" si="0"/>
        <v>2811.1511205060533</v>
      </c>
      <c r="G21" s="62">
        <f t="shared" ref="G21:H21" si="1">SUM(G7:G20)</f>
        <v>2886.4625296213922</v>
      </c>
      <c r="H21" s="62">
        <f t="shared" si="1"/>
        <v>2974.6447783585722</v>
      </c>
      <c r="I21" s="62">
        <f t="shared" si="0"/>
        <v>3136.7030191846889</v>
      </c>
      <c r="J21" s="62">
        <f t="shared" si="0"/>
        <v>3431.3617720902712</v>
      </c>
      <c r="K21" s="62">
        <f t="shared" si="0"/>
        <v>3552.5052907360346</v>
      </c>
      <c r="L21" s="62">
        <f t="shared" si="0"/>
        <v>3665.5999638904796</v>
      </c>
      <c r="M21" s="62">
        <f t="shared" si="0"/>
        <v>3694.6059104696583</v>
      </c>
      <c r="N21" s="62">
        <f t="shared" si="0"/>
        <v>3719.9594953767482</v>
      </c>
      <c r="O21" s="62">
        <f t="shared" ref="O21:Q21" si="2">SUM(O7:O20)</f>
        <v>3753.2814131774512</v>
      </c>
      <c r="P21" s="62">
        <f t="shared" si="2"/>
        <v>3782.7053956249429</v>
      </c>
      <c r="Q21" s="63">
        <f t="shared" si="2"/>
        <v>3808.4032365964185</v>
      </c>
    </row>
    <row r="22" spans="3:17" ht="16.5" thickTop="1" thickBot="1" x14ac:dyDescent="0.4">
      <c r="C22" s="31" t="s">
        <v>96</v>
      </c>
      <c r="D22" s="61">
        <f>'Scaled 2012-13 Data'!$E21</f>
        <v>2625.5817312218246</v>
      </c>
      <c r="E22" s="62">
        <f>'Scaled 2013-14 Data'!$E21</f>
        <v>2725.0931923571188</v>
      </c>
      <c r="F22" s="62">
        <f>'Scaled 2014-15 Data'!$E21</f>
        <v>2811.1511205060533</v>
      </c>
      <c r="G22" s="62">
        <f>'Scaled 2015-16 Data'!$E21</f>
        <v>2886.4625296213922</v>
      </c>
      <c r="H22" s="62">
        <f>'Scaled 2016-17 Data'!$E21</f>
        <v>2974.6447783585722</v>
      </c>
      <c r="I22" s="62">
        <f>'Scaled 2017-18 Data'!$E21</f>
        <v>3136.7030191846889</v>
      </c>
      <c r="J22" s="62"/>
      <c r="K22" s="62"/>
      <c r="L22" s="62"/>
      <c r="M22" s="62"/>
      <c r="N22" s="62"/>
      <c r="O22" s="62"/>
      <c r="P22" s="62"/>
      <c r="Q22" s="63"/>
    </row>
    <row r="23" spans="3:17" ht="13" thickTop="1" x14ac:dyDescent="0.25"/>
    <row r="24" spans="3:17" ht="13" thickBot="1" x14ac:dyDescent="0.3"/>
    <row r="25" spans="3:17" ht="16" thickTop="1" x14ac:dyDescent="0.35">
      <c r="C25" s="32" t="s">
        <v>54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37" t="s">
        <v>37</v>
      </c>
      <c r="F26" s="37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29</v>
      </c>
      <c r="P26" s="37" t="s">
        <v>30</v>
      </c>
      <c r="Q26" s="38" t="s">
        <v>31</v>
      </c>
    </row>
    <row r="27" spans="3:17" ht="14" thickTop="1" thickBot="1" x14ac:dyDescent="0.3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16.5" thickTop="1" thickBot="1" x14ac:dyDescent="0.4">
      <c r="C28" s="20" t="s">
        <v>24</v>
      </c>
      <c r="D28" s="48">
        <f>SUM('[1]12_13 fleet'!$D$128:$D$157)</f>
        <v>143848</v>
      </c>
      <c r="E28" s="62">
        <f>SUM('[2]13_14 fleet'!$D$129:$D$158)</f>
        <v>150083</v>
      </c>
      <c r="F28" s="62">
        <f>SUM('[3]14_15 fleet'!$D$129:$D$158)</f>
        <v>157513</v>
      </c>
      <c r="G28" s="62">
        <f>SUM('[4]15_16 fleet'!$D$129:$D$158)</f>
        <v>164004</v>
      </c>
      <c r="H28" s="62">
        <f>SUM('[5]16_17 fleet_v2'!$D$129:$D$158)</f>
        <v>170042</v>
      </c>
      <c r="I28" s="48">
        <f>SUM('[6]17_18 fleet_v3'!$D$130:$D$159)</f>
        <v>177675</v>
      </c>
      <c r="J28" s="48">
        <f>$I28*'Heavy Truck Supporting Data'!J21/'Heavy Truck Supporting Data'!$I21*('Heavy Truck Supporting Data'!$I$28/'Heavy Truck Supporting Data'!J$28)</f>
        <v>194175.82432404711</v>
      </c>
      <c r="K28" s="48">
        <f>$I28*'Heavy Truck Supporting Data'!K21/'Heavy Truck Supporting Data'!$I21*('Heavy Truck Supporting Data'!$I$28/'Heavy Truck Supporting Data'!K$28)</f>
        <v>200406.79214120549</v>
      </c>
      <c r="L28" s="48">
        <f>$I28*'Heavy Truck Supporting Data'!L21/'Heavy Truck Supporting Data'!$I21*('Heavy Truck Supporting Data'!$I$28/'Heavy Truck Supporting Data'!L$28)</f>
        <v>206213.0429854604</v>
      </c>
      <c r="M28" s="48">
        <f>$I28*'Heavy Truck Supporting Data'!M21/'Heavy Truck Supporting Data'!$I21*('Heavy Truck Supporting Data'!$I$28/'Heavy Truck Supporting Data'!M$28)</f>
        <v>206645.83715083936</v>
      </c>
      <c r="N28" s="48">
        <f>$I28*'Heavy Truck Supporting Data'!N21/'Heavy Truck Supporting Data'!$I21*('Heavy Truck Supporting Data'!$I$28/'Heavy Truck Supporting Data'!N$28)</f>
        <v>206932.22280215978</v>
      </c>
      <c r="O28" s="48">
        <f>$I28*'Heavy Truck Supporting Data'!O21/'Heavy Truck Supporting Data'!$I21*('Heavy Truck Supporting Data'!$I$28/'Heavy Truck Supporting Data'!O$28)</f>
        <v>208158.64420048069</v>
      </c>
      <c r="P28" s="48">
        <f>$I28*'Heavy Truck Supporting Data'!P21/'Heavy Truck Supporting Data'!$I21*('Heavy Truck Supporting Data'!$I$28/'Heavy Truck Supporting Data'!P$28)</f>
        <v>209199.127810768</v>
      </c>
      <c r="Q28" s="49">
        <f>$I28*'Heavy Truck Supporting Data'!Q21/'Heavy Truck Supporting Data'!$I21*('Heavy Truck Supporting Data'!$I$28/'Heavy Truck Supporting Data'!Q$28)</f>
        <v>210062.08872781586</v>
      </c>
    </row>
    <row r="29" spans="3:17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7</vt:i4>
      </vt:variant>
    </vt:vector>
  </HeadingPairs>
  <TitlesOfParts>
    <vt:vector size="37" baseType="lpstr">
      <vt:lpstr>Provenance</vt:lpstr>
      <vt:lpstr>Summary</vt:lpstr>
      <vt:lpstr>Regional VKT Summary</vt:lpstr>
      <vt:lpstr>Regional Vehicle Summary</vt:lpstr>
      <vt:lpstr>All Vehicle Types</vt:lpstr>
      <vt:lpstr>All Light Vehicles</vt:lpstr>
      <vt:lpstr>Car+SUV</vt:lpstr>
      <vt:lpstr>Van+Ute</vt:lpstr>
      <vt:lpstr>Heavy Truck</vt:lpstr>
      <vt:lpstr>Heavy Bus</vt:lpstr>
      <vt:lpstr>Motorcycle</vt:lpstr>
      <vt:lpstr>Original 2012-13 Data</vt:lpstr>
      <vt:lpstr>Scaled 2012-13 Data</vt:lpstr>
      <vt:lpstr>Original 2013-14 Data</vt:lpstr>
      <vt:lpstr>Scaled 2013-14 Data</vt:lpstr>
      <vt:lpstr>Original 2014-15 Data</vt:lpstr>
      <vt:lpstr>Scaled 2014-15 Data</vt:lpstr>
      <vt:lpstr>Original 2015-16 Data</vt:lpstr>
      <vt:lpstr>Scaled 2015-16 Data</vt:lpstr>
      <vt:lpstr>Original 2016-17 Data</vt:lpstr>
      <vt:lpstr>Scaled 2016-17 Data</vt:lpstr>
      <vt:lpstr>Original 2017-18 Data</vt:lpstr>
      <vt:lpstr>Scaled 2017-18 Data</vt:lpstr>
      <vt:lpstr>Household Vehicle Occupancy</vt:lpstr>
      <vt:lpstr>Light Vehicle Supporting Data</vt:lpstr>
      <vt:lpstr>Vehicle Share Diversion Support</vt:lpstr>
      <vt:lpstr>Taxi-Vehicle Share Supporting D</vt:lpstr>
      <vt:lpstr>Heavy Truck Supporting Data</vt:lpstr>
      <vt:lpstr>Heavy Bus Supporting Data</vt:lpstr>
      <vt:lpstr>Motorcycle Supporting Data</vt:lpstr>
      <vt:lpstr>Convergence_Criteria</vt:lpstr>
      <vt:lpstr>Fraction_LPV_Vehicles</vt:lpstr>
      <vt:lpstr>Light_Household_Vehicle_Fraction</vt:lpstr>
      <vt:lpstr>Light_Household_VKT_Fraction</vt:lpstr>
      <vt:lpstr>Taxi_Commercial_Share</vt:lpstr>
      <vt:lpstr>Taxi_Household_Share</vt:lpstr>
      <vt:lpstr>Taxi_Tourist_Share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2018-10-29T01:53:47Z</cp:lastPrinted>
  <dcterms:created xsi:type="dcterms:W3CDTF">2016-05-12T02:44:30Z</dcterms:created>
  <dcterms:modified xsi:type="dcterms:W3CDTF">2019-07-02T22:59:19Z</dcterms:modified>
</cp:coreProperties>
</file>